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Калькуляция" sheetId="1" r:id="rId1"/>
  </sheets>
  <externalReferences>
    <externalReference r:id="rId2"/>
    <externalReference r:id="rId3"/>
  </externalReferences>
  <definedNames>
    <definedName name="calc_type">[1]Титульный!$F$20</definedName>
    <definedName name="fil">[1]Титульный!$F$16</definedName>
    <definedName name="fil_flag">[1]Титульный!$F$13</definedName>
    <definedName name="god">[1]Титульный!$F$11</definedName>
    <definedName name="izm_type">[1]Титульный!$F$23</definedName>
    <definedName name="org">[1]Титульный!$F$15</definedName>
  </definedNames>
  <calcPr calcId="145621"/>
</workbook>
</file>

<file path=xl/calcChain.xml><?xml version="1.0" encoding="utf-8"?>
<calcChain xmlns="http://schemas.openxmlformats.org/spreadsheetml/2006/main">
  <c r="M107" i="1" l="1"/>
  <c r="M119" i="1" s="1"/>
  <c r="M120" i="1" s="1"/>
  <c r="M111" i="1"/>
  <c r="F119" i="1" l="1"/>
  <c r="F117" i="1"/>
  <c r="F116" i="1"/>
  <c r="G115" i="1"/>
  <c r="F115" i="1"/>
  <c r="L111" i="1"/>
  <c r="K111" i="1"/>
  <c r="J111" i="1"/>
  <c r="J107" i="1" s="1"/>
  <c r="I111" i="1"/>
  <c r="I107" i="1" s="1"/>
  <c r="H111" i="1"/>
  <c r="G111" i="1"/>
  <c r="F111" i="1"/>
  <c r="F110" i="1"/>
  <c r="F109" i="1"/>
  <c r="F108" i="1"/>
  <c r="L107" i="1"/>
  <c r="K107" i="1"/>
  <c r="H107" i="1"/>
  <c r="G107" i="1"/>
  <c r="F107" i="1"/>
  <c r="F106" i="1"/>
  <c r="F104" i="1"/>
  <c r="F103" i="1"/>
  <c r="L101" i="1"/>
  <c r="J101" i="1" s="1"/>
  <c r="I101" i="1"/>
  <c r="F101" i="1"/>
  <c r="L100" i="1"/>
  <c r="K100" i="1"/>
  <c r="J100" i="1"/>
  <c r="I100" i="1"/>
  <c r="I99" i="1" s="1"/>
  <c r="G100" i="1"/>
  <c r="F100" i="1"/>
  <c r="M99" i="1"/>
  <c r="L99" i="1"/>
  <c r="H99" i="1"/>
  <c r="G99" i="1"/>
  <c r="F99" i="1"/>
  <c r="K98" i="1"/>
  <c r="J98" i="1"/>
  <c r="I98" i="1"/>
  <c r="F98" i="1"/>
  <c r="K97" i="1"/>
  <c r="K95" i="1" s="1"/>
  <c r="J97" i="1"/>
  <c r="I97" i="1"/>
  <c r="F97" i="1"/>
  <c r="F96" i="1"/>
  <c r="M95" i="1"/>
  <c r="L95" i="1"/>
  <c r="J95" i="1"/>
  <c r="I95" i="1"/>
  <c r="H95" i="1"/>
  <c r="G95" i="1"/>
  <c r="F95" i="1"/>
  <c r="F94" i="1"/>
  <c r="K93" i="1"/>
  <c r="J93" i="1"/>
  <c r="I93" i="1"/>
  <c r="F93" i="1"/>
  <c r="K92" i="1"/>
  <c r="J92" i="1"/>
  <c r="I92" i="1"/>
  <c r="F92" i="1"/>
  <c r="F91" i="1"/>
  <c r="L90" i="1"/>
  <c r="F90" i="1"/>
  <c r="I89" i="1"/>
  <c r="H89" i="1"/>
  <c r="L88" i="1"/>
  <c r="I88" i="1" s="1"/>
  <c r="K88" i="1"/>
  <c r="J88" i="1"/>
  <c r="J90" i="1" s="1"/>
  <c r="H88" i="1"/>
  <c r="H90" i="1" s="1"/>
  <c r="F88" i="1"/>
  <c r="M87" i="1"/>
  <c r="G87" i="1"/>
  <c r="F87" i="1"/>
  <c r="F85" i="1"/>
  <c r="F84" i="1"/>
  <c r="L83" i="1"/>
  <c r="I83" i="1" s="1"/>
  <c r="I80" i="1" s="1"/>
  <c r="K83" i="1"/>
  <c r="H83" i="1"/>
  <c r="F83" i="1"/>
  <c r="L82" i="1"/>
  <c r="K82" i="1"/>
  <c r="J82" i="1"/>
  <c r="I82" i="1"/>
  <c r="H82" i="1"/>
  <c r="L81" i="1"/>
  <c r="K81" i="1"/>
  <c r="K80" i="1" s="1"/>
  <c r="J81" i="1"/>
  <c r="I81" i="1"/>
  <c r="H81" i="1"/>
  <c r="F81" i="1"/>
  <c r="M80" i="1"/>
  <c r="L80" i="1"/>
  <c r="H80" i="1"/>
  <c r="G80" i="1"/>
  <c r="F80" i="1"/>
  <c r="M77" i="1"/>
  <c r="M75" i="1" s="1"/>
  <c r="L77" i="1"/>
  <c r="J77" i="1" s="1"/>
  <c r="J75" i="1" s="1"/>
  <c r="I77" i="1"/>
  <c r="I75" i="1" s="1"/>
  <c r="F77" i="1"/>
  <c r="F76" i="1"/>
  <c r="L75" i="1"/>
  <c r="H75" i="1"/>
  <c r="G75" i="1"/>
  <c r="F75" i="1"/>
  <c r="K74" i="1"/>
  <c r="J74" i="1"/>
  <c r="I74" i="1"/>
  <c r="F74" i="1"/>
  <c r="M73" i="1"/>
  <c r="K73" i="1"/>
  <c r="H73" i="1"/>
  <c r="F73" i="1"/>
  <c r="H71" i="1"/>
  <c r="G71" i="1"/>
  <c r="F71" i="1"/>
  <c r="M70" i="1"/>
  <c r="M71" i="1" s="1"/>
  <c r="K70" i="1"/>
  <c r="J70" i="1"/>
  <c r="J73" i="1" s="1"/>
  <c r="I70" i="1"/>
  <c r="I73" i="1" s="1"/>
  <c r="F70" i="1"/>
  <c r="K69" i="1"/>
  <c r="J69" i="1"/>
  <c r="I69" i="1"/>
  <c r="F69" i="1"/>
  <c r="M68" i="1"/>
  <c r="K68" i="1"/>
  <c r="J68" i="1"/>
  <c r="I68" i="1"/>
  <c r="H68" i="1"/>
  <c r="M67" i="1"/>
  <c r="M66" i="1" s="1"/>
  <c r="K67" i="1"/>
  <c r="L67" i="1" s="1"/>
  <c r="J67" i="1"/>
  <c r="J66" i="1" s="1"/>
  <c r="I67" i="1"/>
  <c r="I66" i="1" s="1"/>
  <c r="H67" i="1"/>
  <c r="F67" i="1"/>
  <c r="H66" i="1"/>
  <c r="G66" i="1"/>
  <c r="F66" i="1"/>
  <c r="F64" i="1"/>
  <c r="L63" i="1"/>
  <c r="K63" i="1"/>
  <c r="J63" i="1"/>
  <c r="I63" i="1"/>
  <c r="H63" i="1"/>
  <c r="G63" i="1"/>
  <c r="F63" i="1"/>
  <c r="M62" i="1"/>
  <c r="M60" i="1" s="1"/>
  <c r="K62" i="1"/>
  <c r="J62" i="1"/>
  <c r="J60" i="1" s="1"/>
  <c r="I62" i="1"/>
  <c r="I60" i="1" s="1"/>
  <c r="H62" i="1"/>
  <c r="H60" i="1" s="1"/>
  <c r="G62" i="1"/>
  <c r="M61" i="1"/>
  <c r="K61" i="1"/>
  <c r="L61" i="1" s="1"/>
  <c r="J61" i="1"/>
  <c r="I61" i="1"/>
  <c r="H61" i="1"/>
  <c r="G61" i="1"/>
  <c r="F61" i="1"/>
  <c r="K60" i="1"/>
  <c r="L60" i="1" s="1"/>
  <c r="L62" i="1" s="1"/>
  <c r="G60" i="1"/>
  <c r="F60" i="1"/>
  <c r="L57" i="1"/>
  <c r="K57" i="1"/>
  <c r="J57" i="1"/>
  <c r="I57" i="1"/>
  <c r="H57" i="1"/>
  <c r="G57" i="1"/>
  <c r="F57" i="1"/>
  <c r="F55" i="1"/>
  <c r="L54" i="1"/>
  <c r="L53" i="1" s="1"/>
  <c r="K54" i="1"/>
  <c r="K53" i="1" s="1"/>
  <c r="J54" i="1"/>
  <c r="J53" i="1" s="1"/>
  <c r="I54" i="1"/>
  <c r="H54" i="1"/>
  <c r="H53" i="1" s="1"/>
  <c r="G54" i="1"/>
  <c r="G53" i="1" s="1"/>
  <c r="F54" i="1"/>
  <c r="I53" i="1"/>
  <c r="F53" i="1"/>
  <c r="L50" i="1"/>
  <c r="K50" i="1"/>
  <c r="J50" i="1"/>
  <c r="I50" i="1"/>
  <c r="H50" i="1"/>
  <c r="G50" i="1"/>
  <c r="F50" i="1"/>
  <c r="L47" i="1"/>
  <c r="K47" i="1"/>
  <c r="J47" i="1"/>
  <c r="I47" i="1"/>
  <c r="H47" i="1"/>
  <c r="G47" i="1"/>
  <c r="F47" i="1"/>
  <c r="L44" i="1"/>
  <c r="K44" i="1"/>
  <c r="J44" i="1"/>
  <c r="I44" i="1"/>
  <c r="H44" i="1"/>
  <c r="G44" i="1"/>
  <c r="F44" i="1"/>
  <c r="L41" i="1"/>
  <c r="K41" i="1"/>
  <c r="J41" i="1"/>
  <c r="I41" i="1"/>
  <c r="H41" i="1"/>
  <c r="G41" i="1"/>
  <c r="F41" i="1"/>
  <c r="F40" i="1"/>
  <c r="F38" i="1"/>
  <c r="L37" i="1"/>
  <c r="K37" i="1"/>
  <c r="J37" i="1"/>
  <c r="I37" i="1"/>
  <c r="H37" i="1"/>
  <c r="G37" i="1"/>
  <c r="F37" i="1"/>
  <c r="M36" i="1"/>
  <c r="K36" i="1"/>
  <c r="J36" i="1"/>
  <c r="J34" i="1" s="1"/>
  <c r="I36" i="1"/>
  <c r="M35" i="1"/>
  <c r="K35" i="1"/>
  <c r="K34" i="1" s="1"/>
  <c r="K27" i="1" s="1"/>
  <c r="J35" i="1"/>
  <c r="I35" i="1"/>
  <c r="F35" i="1"/>
  <c r="M34" i="1"/>
  <c r="M27" i="1" s="1"/>
  <c r="I34" i="1"/>
  <c r="I27" i="1" s="1"/>
  <c r="H34" i="1"/>
  <c r="G34" i="1"/>
  <c r="F34" i="1"/>
  <c r="F32" i="1"/>
  <c r="M31" i="1"/>
  <c r="L31" i="1"/>
  <c r="K31" i="1"/>
  <c r="J31" i="1"/>
  <c r="J27" i="1" s="1"/>
  <c r="I31" i="1"/>
  <c r="H31" i="1"/>
  <c r="G31" i="1"/>
  <c r="F31" i="1"/>
  <c r="F29" i="1"/>
  <c r="M28" i="1"/>
  <c r="L28" i="1"/>
  <c r="K28" i="1"/>
  <c r="J28" i="1"/>
  <c r="I28" i="1"/>
  <c r="H28" i="1"/>
  <c r="G28" i="1"/>
  <c r="F28" i="1"/>
  <c r="H27" i="1"/>
  <c r="G27" i="1"/>
  <c r="F27" i="1"/>
  <c r="L26" i="1"/>
  <c r="K26" i="1"/>
  <c r="J26" i="1"/>
  <c r="I26" i="1"/>
  <c r="H26" i="1"/>
  <c r="G26" i="1"/>
  <c r="F26" i="1"/>
  <c r="F24" i="1"/>
  <c r="L23" i="1"/>
  <c r="F23" i="1"/>
  <c r="F22" i="1"/>
  <c r="F21" i="1"/>
  <c r="M20" i="1"/>
  <c r="L20" i="1"/>
  <c r="K20" i="1"/>
  <c r="K18" i="1" s="1"/>
  <c r="K15" i="1" s="1"/>
  <c r="K17" i="1" s="1"/>
  <c r="J20" i="1"/>
  <c r="I20" i="1"/>
  <c r="H20" i="1"/>
  <c r="H18" i="1" s="1"/>
  <c r="H15" i="1" s="1"/>
  <c r="H17" i="1" s="1"/>
  <c r="G20" i="1"/>
  <c r="G18" i="1" s="1"/>
  <c r="G15" i="1" s="1"/>
  <c r="G17" i="1" s="1"/>
  <c r="F20" i="1"/>
  <c r="L19" i="1"/>
  <c r="L18" i="1" s="1"/>
  <c r="F19" i="1"/>
  <c r="M18" i="1"/>
  <c r="M15" i="1" s="1"/>
  <c r="M17" i="1" s="1"/>
  <c r="J18" i="1"/>
  <c r="I18" i="1"/>
  <c r="I15" i="1" s="1"/>
  <c r="I17" i="1" s="1"/>
  <c r="F18" i="1"/>
  <c r="L16" i="1"/>
  <c r="F16" i="1"/>
  <c r="J15" i="1"/>
  <c r="J17" i="1" s="1"/>
  <c r="F15" i="1"/>
  <c r="J14" i="1"/>
  <c r="L14" i="1" s="1"/>
  <c r="I14" i="1"/>
  <c r="H14" i="1"/>
  <c r="F14" i="1"/>
  <c r="F13" i="1"/>
  <c r="F12" i="1"/>
  <c r="F11" i="1"/>
  <c r="I10" i="1"/>
  <c r="J10" i="1" s="1"/>
  <c r="K10" i="1" s="1"/>
  <c r="L10" i="1" s="1"/>
  <c r="I8" i="1"/>
  <c r="G8" i="1"/>
  <c r="D6" i="1"/>
  <c r="D5" i="1"/>
  <c r="L15" i="1" l="1"/>
  <c r="L17" i="1" s="1"/>
  <c r="M106" i="1"/>
  <c r="I87" i="1"/>
  <c r="I90" i="1"/>
  <c r="K99" i="1"/>
  <c r="G106" i="1"/>
  <c r="G119" i="1" s="1"/>
  <c r="G120" i="1" s="1"/>
  <c r="H106" i="1"/>
  <c r="H119" i="1" s="1"/>
  <c r="H120" i="1" s="1"/>
  <c r="J87" i="1"/>
  <c r="I106" i="1"/>
  <c r="I119" i="1" s="1"/>
  <c r="I120" i="1" s="1"/>
  <c r="L73" i="1"/>
  <c r="J99" i="1"/>
  <c r="I118" i="1"/>
  <c r="L34" i="1"/>
  <c r="K66" i="1"/>
  <c r="L66" i="1" s="1"/>
  <c r="L68" i="1" s="1"/>
  <c r="K77" i="1"/>
  <c r="K75" i="1" s="1"/>
  <c r="H87" i="1"/>
  <c r="L87" i="1"/>
  <c r="K101" i="1"/>
  <c r="J83" i="1"/>
  <c r="J80" i="1" s="1"/>
  <c r="J106" i="1" s="1"/>
  <c r="L35" i="1"/>
  <c r="K90" i="1"/>
  <c r="K87" i="1" s="1"/>
  <c r="J119" i="1" l="1"/>
  <c r="J120" i="1" s="1"/>
  <c r="J118" i="1"/>
  <c r="K106" i="1"/>
  <c r="L36" i="1"/>
  <c r="L27" i="1"/>
  <c r="L106" i="1" s="1"/>
  <c r="H118" i="1"/>
  <c r="G118" i="1"/>
  <c r="L119" i="1" l="1"/>
  <c r="L120" i="1" s="1"/>
  <c r="L118" i="1"/>
  <c r="K119" i="1"/>
  <c r="K120" i="1" s="1"/>
  <c r="K118" i="1"/>
</calcChain>
</file>

<file path=xl/sharedStrings.xml><?xml version="1.0" encoding="utf-8"?>
<sst xmlns="http://schemas.openxmlformats.org/spreadsheetml/2006/main" count="217" uniqueCount="171">
  <si>
    <t>№</t>
  </si>
  <si>
    <t>Статьи расхода</t>
  </si>
  <si>
    <t>Единица измерения</t>
  </si>
  <si>
    <t>План</t>
  </si>
  <si>
    <t>Факт</t>
  </si>
  <si>
    <t>Факт с 01.01.20112</t>
  </si>
  <si>
    <t>Факт с 01.07.2012</t>
  </si>
  <si>
    <t>Ожидаемое выполнение с 01.09.2012</t>
  </si>
  <si>
    <t>Ожидаемое выполнение</t>
  </si>
  <si>
    <t>ФАКТ 2012</t>
  </si>
  <si>
    <t>1</t>
  </si>
  <si>
    <t>Установленная мощность (присоединенная нагрузка)</t>
  </si>
  <si>
    <t>2</t>
  </si>
  <si>
    <t>Выработка тепловой энергии</t>
  </si>
  <si>
    <t>3</t>
  </si>
  <si>
    <t>Собственные нужды источников тепла</t>
  </si>
  <si>
    <t>4</t>
  </si>
  <si>
    <t>Покупка тепловой энергии</t>
  </si>
  <si>
    <t>5</t>
  </si>
  <si>
    <t>Отпуск тепловой энергии в сеть</t>
  </si>
  <si>
    <t>6</t>
  </si>
  <si>
    <t>Потери в тепловых сетях</t>
  </si>
  <si>
    <t>6.1</t>
  </si>
  <si>
    <t>В процентах</t>
  </si>
  <si>
    <t>%</t>
  </si>
  <si>
    <t>7</t>
  </si>
  <si>
    <t>Полезный отпуск тепловой энергии</t>
  </si>
  <si>
    <t>7.1</t>
  </si>
  <si>
    <t>Собственное потребление тепловой энергии</t>
  </si>
  <si>
    <t>7.2</t>
  </si>
  <si>
    <t>Передано на сторону, в том числе:</t>
  </si>
  <si>
    <t>7.2.1</t>
  </si>
  <si>
    <t>по гр. "Население"</t>
  </si>
  <si>
    <t>7.2.2</t>
  </si>
  <si>
    <t xml:space="preserve">по гр. "Бюджетные" </t>
  </si>
  <si>
    <t>7.2.3</t>
  </si>
  <si>
    <t>по гр. "Прочие"</t>
  </si>
  <si>
    <t>7.2.3.1</t>
  </si>
  <si>
    <t>в т.ч. организациям - перепродавцам</t>
  </si>
  <si>
    <t>8</t>
  </si>
  <si>
    <t>Себестоимость(без НДС), в том числе:</t>
  </si>
  <si>
    <t>8.1</t>
  </si>
  <si>
    <t>Топливо на технологические цели</t>
  </si>
  <si>
    <t>8.2</t>
  </si>
  <si>
    <t>Электроэнергия</t>
  </si>
  <si>
    <t>8.2.1</t>
  </si>
  <si>
    <t>НН</t>
  </si>
  <si>
    <t>объем</t>
  </si>
  <si>
    <t>тариф</t>
  </si>
  <si>
    <t>руб./кВт.ч</t>
  </si>
  <si>
    <t>8.2.2</t>
  </si>
  <si>
    <t>СН1</t>
  </si>
  <si>
    <t>8.2.3</t>
  </si>
  <si>
    <t>СН2</t>
  </si>
  <si>
    <t>8.2.4</t>
  </si>
  <si>
    <t>ВН</t>
  </si>
  <si>
    <t>8.3</t>
  </si>
  <si>
    <t>Заявленная мощность</t>
  </si>
  <si>
    <t>8.3.1</t>
  </si>
  <si>
    <t xml:space="preserve">объем </t>
  </si>
  <si>
    <t>МВт в месяц</t>
  </si>
  <si>
    <t>руб./МВт в месяц</t>
  </si>
  <si>
    <t>8.3.2</t>
  </si>
  <si>
    <t>8.3.3</t>
  </si>
  <si>
    <t>8.3.4</t>
  </si>
  <si>
    <t>8.4</t>
  </si>
  <si>
    <t>Вода, в т.ч.</t>
  </si>
  <si>
    <t>8.4.1</t>
  </si>
  <si>
    <t xml:space="preserve">Водоснабжение </t>
  </si>
  <si>
    <t>руб./куб.м</t>
  </si>
  <si>
    <t>8.4.2</t>
  </si>
  <si>
    <t>Водоотведение</t>
  </si>
  <si>
    <t>куб.м</t>
  </si>
  <si>
    <t>8.5</t>
  </si>
  <si>
    <t>Затраты на покупку тепловой энергии</t>
  </si>
  <si>
    <t>руб./Гкал</t>
  </si>
  <si>
    <t>8.6</t>
  </si>
  <si>
    <t>Оплата тепловых потерь</t>
  </si>
  <si>
    <t>8.7</t>
  </si>
  <si>
    <t>Оплата теплоносителя</t>
  </si>
  <si>
    <t>8.8</t>
  </si>
  <si>
    <t>Сырье и материалы</t>
  </si>
  <si>
    <t>8.9</t>
  </si>
  <si>
    <t>Фонд оплаты труда</t>
  </si>
  <si>
    <t>8.9.1</t>
  </si>
  <si>
    <t>Среднемесячная заработная плата</t>
  </si>
  <si>
    <t>8.9.2</t>
  </si>
  <si>
    <t>Численность</t>
  </si>
  <si>
    <t>чел</t>
  </si>
  <si>
    <t>8.10</t>
  </si>
  <si>
    <t>Отчисления от ФОТ, всего</t>
  </si>
  <si>
    <t>8.11</t>
  </si>
  <si>
    <t>Амортизация ОФ</t>
  </si>
  <si>
    <t>8.12</t>
  </si>
  <si>
    <t>Услуги производственного характера</t>
  </si>
  <si>
    <t>8.12.1</t>
  </si>
  <si>
    <t>Капитальный ремонт</t>
  </si>
  <si>
    <t>8.12.2</t>
  </si>
  <si>
    <t>Текущий ремонт</t>
  </si>
  <si>
    <r>
      <t>Добавить услугу</t>
    </r>
    <r>
      <rPr>
        <b/>
        <i/>
        <sz val="9"/>
        <color indexed="12"/>
        <rFont val="Tahoma"/>
        <family val="2"/>
        <charset val="204"/>
      </rPr>
      <t xml:space="preserve"> (по двойному клику)</t>
    </r>
  </si>
  <si>
    <t>8.13</t>
  </si>
  <si>
    <t>Цеховые расходы</t>
  </si>
  <si>
    <t>8.13.1</t>
  </si>
  <si>
    <t>Заработная плата цехового персонала</t>
  </si>
  <si>
    <t>8.13.2</t>
  </si>
  <si>
    <t>Численность цехового персонала, распределяемого на регулируемый вид деятельности</t>
  </si>
  <si>
    <t>ед.</t>
  </si>
  <si>
    <t>8.13.3</t>
  </si>
  <si>
    <t>Отчисления на соц.нужды от заработной платы цехового персонала</t>
  </si>
  <si>
    <t>прочие цеховые расходы</t>
  </si>
  <si>
    <r>
      <t>Добавить цеховые расходы</t>
    </r>
    <r>
      <rPr>
        <b/>
        <i/>
        <sz val="9"/>
        <color indexed="12"/>
        <rFont val="Tahoma"/>
        <family val="2"/>
        <charset val="204"/>
      </rPr>
      <t xml:space="preserve"> (по двойному клику)</t>
    </r>
  </si>
  <si>
    <t>8.14</t>
  </si>
  <si>
    <t>Общехозяйственные расходы</t>
  </si>
  <si>
    <t>8.14.1</t>
  </si>
  <si>
    <t>Заработная плата АУП</t>
  </si>
  <si>
    <t>8.14.1.1</t>
  </si>
  <si>
    <t>численность АУП, распределяемого на регулируемый вид деятельности</t>
  </si>
  <si>
    <t>8.14.2</t>
  </si>
  <si>
    <t>Отчисления на соц.нужды от заработной платы АУП</t>
  </si>
  <si>
    <t>8.14.3</t>
  </si>
  <si>
    <t>Целевые средства на НИОКР</t>
  </si>
  <si>
    <t>8.14.4</t>
  </si>
  <si>
    <t>Средства на страхование</t>
  </si>
  <si>
    <t>8.14.5</t>
  </si>
  <si>
    <t>Плата за предельно допустимые выбросы (сбросы) загрязняющих веществ</t>
  </si>
  <si>
    <t>8.14.6</t>
  </si>
  <si>
    <t>Отчисления в ремонтный фонд в случае его формирования</t>
  </si>
  <si>
    <t>8.14.7</t>
  </si>
  <si>
    <t>Непроизводственные расходы (налоги и другие обязательные платежи и сборы) всего, в том числе:</t>
  </si>
  <si>
    <t>8.14.7.1</t>
  </si>
  <si>
    <t>налог на землю</t>
  </si>
  <si>
    <t>8.14.7.2</t>
  </si>
  <si>
    <t>налог на имущество</t>
  </si>
  <si>
    <t>8.14.7.3</t>
  </si>
  <si>
    <t>транспортный налог</t>
  </si>
  <si>
    <t>8.14.8</t>
  </si>
  <si>
    <t>Другие затраты, относимые на себестоимость продукции всего, в том числе:</t>
  </si>
  <si>
    <t>8.14.8.1</t>
  </si>
  <si>
    <t>аренда</t>
  </si>
  <si>
    <t>прочие расходы</t>
  </si>
  <si>
    <r>
      <t>Добавить другие затраты</t>
    </r>
    <r>
      <rPr>
        <b/>
        <i/>
        <sz val="9"/>
        <color indexed="12"/>
        <rFont val="Tahoma"/>
        <family val="2"/>
        <charset val="204"/>
      </rPr>
      <t xml:space="preserve"> (по двойному клику)</t>
    </r>
  </si>
  <si>
    <t>8.15</t>
  </si>
  <si>
    <t>Недополученный по независящим причинам доход</t>
  </si>
  <si>
    <t>8.16</t>
  </si>
  <si>
    <t>Избыток средств, полученный в предыдущем периоде регулирования</t>
  </si>
  <si>
    <r>
      <t>Добавить статью себестоимости</t>
    </r>
    <r>
      <rPr>
        <b/>
        <i/>
        <sz val="9"/>
        <color indexed="12"/>
        <rFont val="Tahoma"/>
        <family val="2"/>
        <charset val="204"/>
      </rPr>
      <t xml:space="preserve"> (по двойному клику)</t>
    </r>
  </si>
  <si>
    <t>9</t>
  </si>
  <si>
    <t>Итого себестоимость</t>
  </si>
  <si>
    <t>10</t>
  </si>
  <si>
    <t>Валовая прибыль</t>
  </si>
  <si>
    <t>10.1</t>
  </si>
  <si>
    <t>Прибыль на развитие производства (капитальные вложения)</t>
  </si>
  <si>
    <t>10.2</t>
  </si>
  <si>
    <t>Прибыль на социальное развитие</t>
  </si>
  <si>
    <t>10.3</t>
  </si>
  <si>
    <t>Прибыль на поощрение</t>
  </si>
  <si>
    <t>10.4</t>
  </si>
  <si>
    <t>Прибыль на прочие цели</t>
  </si>
  <si>
    <t>10.4.0</t>
  </si>
  <si>
    <r>
      <t>Добавить прибыль на прочие цели</t>
    </r>
    <r>
      <rPr>
        <b/>
        <i/>
        <sz val="9"/>
        <color indexed="12"/>
        <rFont val="Tahoma"/>
        <family val="2"/>
        <charset val="204"/>
      </rPr>
      <t xml:space="preserve"> (по двойному клику)</t>
    </r>
  </si>
  <si>
    <t>10.5</t>
  </si>
  <si>
    <t>Налоги, сборы, платежи - всего, в том числе:</t>
  </si>
  <si>
    <t>10.5.1</t>
  </si>
  <si>
    <t>на прибыль</t>
  </si>
  <si>
    <t>другие налоги</t>
  </si>
  <si>
    <t>11</t>
  </si>
  <si>
    <t>Уровень рентабельности</t>
  </si>
  <si>
    <t>12</t>
  </si>
  <si>
    <t>Необходимая валовая выручка</t>
  </si>
  <si>
    <t>13</t>
  </si>
  <si>
    <t>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</si>
</sst>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 Cyr"/>
      <charset val="204"/>
    </font>
    <font>
      <b/>
      <sz val="9"/>
      <color indexed="55"/>
      <name val="Tahoma"/>
      <family val="2"/>
      <charset val="204"/>
    </font>
    <font>
      <sz val="11"/>
      <color indexed="8"/>
      <name val="Marlett"/>
      <charset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9"/>
      <name val="Marlett"/>
      <charset val="2"/>
    </font>
    <font>
      <sz val="9"/>
      <color indexed="10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i/>
      <sz val="9"/>
      <color indexed="12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indexed="22"/>
      </patternFill>
    </fill>
  </fills>
  <borders count="25">
    <border>
      <left/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49" fontId="8" fillId="0" borderId="0" applyBorder="0">
      <alignment vertical="top"/>
    </xf>
  </cellStyleXfs>
  <cellXfs count="108">
    <xf numFmtId="0" fontId="0" fillId="0" borderId="0" xfId="0"/>
    <xf numFmtId="4" fontId="2" fillId="0" borderId="0" xfId="1" applyNumberFormat="1" applyFont="1" applyAlignment="1" applyProtection="1">
      <alignment vertical="center"/>
    </xf>
    <xf numFmtId="4" fontId="2" fillId="3" borderId="0" xfId="2" applyNumberFormat="1" applyFont="1" applyFill="1" applyBorder="1" applyAlignment="1" applyProtection="1">
      <alignment horizontal="center" vertical="center"/>
    </xf>
    <xf numFmtId="4" fontId="2" fillId="3" borderId="0" xfId="2" applyNumberFormat="1" applyFont="1" applyFill="1" applyBorder="1" applyAlignment="1" applyProtection="1">
      <alignment vertical="center" wrapText="1"/>
    </xf>
    <xf numFmtId="4" fontId="2" fillId="3" borderId="0" xfId="2" applyNumberFormat="1" applyFont="1" applyFill="1" applyBorder="1" applyAlignment="1" applyProtection="1">
      <alignment vertical="center"/>
    </xf>
    <xf numFmtId="4" fontId="3" fillId="0" borderId="8" xfId="2" applyNumberFormat="1" applyFont="1" applyBorder="1" applyAlignment="1" applyProtection="1">
      <alignment horizontal="center" vertical="center" wrapText="1"/>
    </xf>
    <xf numFmtId="4" fontId="3" fillId="0" borderId="9" xfId="2" applyNumberFormat="1" applyFont="1" applyBorder="1" applyAlignment="1" applyProtection="1">
      <alignment horizontal="center" vertical="center" wrapText="1"/>
    </xf>
    <xf numFmtId="4" fontId="3" fillId="0" borderId="6" xfId="2" applyNumberFormat="1" applyFont="1" applyBorder="1" applyAlignment="1" applyProtection="1">
      <alignment horizontal="center" vertical="center" wrapText="1"/>
    </xf>
    <xf numFmtId="3" fontId="5" fillId="0" borderId="0" xfId="3" applyNumberFormat="1" applyFont="1" applyBorder="1" applyAlignment="1" applyProtection="1">
      <alignment horizontal="center" vertical="center" wrapText="1"/>
    </xf>
    <xf numFmtId="3" fontId="5" fillId="0" borderId="6" xfId="3" applyNumberFormat="1" applyFont="1" applyBorder="1" applyAlignment="1" applyProtection="1">
      <alignment horizontal="center" vertical="center" wrapText="1"/>
    </xf>
    <xf numFmtId="4" fontId="6" fillId="0" borderId="0" xfId="1" applyNumberFormat="1" applyFont="1" applyAlignment="1" applyProtection="1">
      <alignment vertical="center"/>
    </xf>
    <xf numFmtId="4" fontId="3" fillId="0" borderId="10" xfId="2" applyNumberFormat="1" applyFont="1" applyBorder="1" applyAlignment="1" applyProtection="1">
      <alignment horizontal="center" vertical="center"/>
    </xf>
    <xf numFmtId="4" fontId="7" fillId="0" borderId="11" xfId="2" applyNumberFormat="1" applyFont="1" applyBorder="1" applyAlignment="1" applyProtection="1">
      <alignment horizontal="left" vertical="center" wrapText="1"/>
    </xf>
    <xf numFmtId="4" fontId="7" fillId="0" borderId="4" xfId="2" applyNumberFormat="1" applyFont="1" applyBorder="1" applyAlignment="1" applyProtection="1">
      <alignment horizontal="center" vertical="center" wrapText="1"/>
    </xf>
    <xf numFmtId="4" fontId="3" fillId="4" borderId="6" xfId="2" applyNumberFormat="1" applyFont="1" applyFill="1" applyBorder="1" applyAlignment="1" applyProtection="1">
      <alignment horizontal="right" vertical="center"/>
      <protection locked="0"/>
    </xf>
    <xf numFmtId="4" fontId="3" fillId="4" borderId="12" xfId="2" applyNumberFormat="1" applyFont="1" applyFill="1" applyBorder="1" applyAlignment="1" applyProtection="1">
      <alignment horizontal="right" vertical="center"/>
      <protection locked="0"/>
    </xf>
    <xf numFmtId="4" fontId="3" fillId="0" borderId="13" xfId="2" applyNumberFormat="1" applyFont="1" applyBorder="1" applyAlignment="1" applyProtection="1">
      <alignment horizontal="center" vertical="center"/>
    </xf>
    <xf numFmtId="4" fontId="7" fillId="0" borderId="6" xfId="2" applyNumberFormat="1" applyFont="1" applyBorder="1" applyAlignment="1" applyProtection="1">
      <alignment horizontal="left" vertical="center" wrapText="1"/>
    </xf>
    <xf numFmtId="4" fontId="7" fillId="0" borderId="12" xfId="2" applyNumberFormat="1" applyFont="1" applyBorder="1" applyAlignment="1" applyProtection="1">
      <alignment horizontal="center" vertical="center" wrapText="1"/>
    </xf>
    <xf numFmtId="4" fontId="7" fillId="4" borderId="6" xfId="2" applyNumberFormat="1" applyFont="1" applyFill="1" applyBorder="1" applyAlignment="1" applyProtection="1">
      <alignment horizontal="right" vertical="center"/>
      <protection locked="0"/>
    </xf>
    <xf numFmtId="4" fontId="3" fillId="5" borderId="6" xfId="2" applyNumberFormat="1" applyFont="1" applyFill="1" applyBorder="1" applyAlignment="1" applyProtection="1">
      <alignment horizontal="right" vertical="center"/>
    </xf>
    <xf numFmtId="4" fontId="3" fillId="5" borderId="12" xfId="2" applyNumberFormat="1" applyFont="1" applyFill="1" applyBorder="1" applyAlignment="1" applyProtection="1">
      <alignment horizontal="right" vertical="center"/>
    </xf>
    <xf numFmtId="4" fontId="7" fillId="5" borderId="6" xfId="2" applyNumberFormat="1" applyFont="1" applyFill="1" applyBorder="1" applyAlignment="1" applyProtection="1">
      <alignment horizontal="right" vertical="center"/>
    </xf>
    <xf numFmtId="4" fontId="7" fillId="0" borderId="6" xfId="2" applyNumberFormat="1" applyFont="1" applyBorder="1" applyAlignment="1" applyProtection="1">
      <alignment vertical="center" wrapText="1"/>
    </xf>
    <xf numFmtId="4" fontId="2" fillId="0" borderId="13" xfId="2" applyNumberFormat="1" applyFont="1" applyBorder="1" applyAlignment="1" applyProtection="1">
      <alignment horizontal="center" vertical="center"/>
    </xf>
    <xf numFmtId="4" fontId="8" fillId="0" borderId="6" xfId="2" applyNumberFormat="1" applyFont="1" applyBorder="1" applyAlignment="1" applyProtection="1">
      <alignment horizontal="left" vertical="center" wrapText="1" indent="1"/>
    </xf>
    <xf numFmtId="4" fontId="2" fillId="0" borderId="12" xfId="2" applyNumberFormat="1" applyFont="1" applyBorder="1" applyAlignment="1" applyProtection="1">
      <alignment horizontal="center" vertical="center" wrapText="1"/>
    </xf>
    <xf numFmtId="4" fontId="2" fillId="5" borderId="6" xfId="2" applyNumberFormat="1" applyFont="1" applyFill="1" applyBorder="1" applyAlignment="1" applyProtection="1">
      <alignment horizontal="right" vertical="center"/>
    </xf>
    <xf numFmtId="4" fontId="2" fillId="5" borderId="12" xfId="2" applyNumberFormat="1" applyFont="1" applyFill="1" applyBorder="1" applyAlignment="1" applyProtection="1">
      <alignment horizontal="right" vertical="center"/>
    </xf>
    <xf numFmtId="4" fontId="8" fillId="5" borderId="6" xfId="2" applyNumberFormat="1" applyFont="1" applyFill="1" applyBorder="1" applyAlignment="1" applyProtection="1">
      <alignment horizontal="right" vertical="center"/>
    </xf>
    <xf numFmtId="4" fontId="8" fillId="0" borderId="12" xfId="2" applyNumberFormat="1" applyFont="1" applyBorder="1" applyAlignment="1" applyProtection="1">
      <alignment horizontal="center" vertical="center" wrapText="1"/>
    </xf>
    <xf numFmtId="4" fontId="2" fillId="4" borderId="6" xfId="2" applyNumberFormat="1" applyFont="1" applyFill="1" applyBorder="1" applyAlignment="1" applyProtection="1">
      <alignment horizontal="right" vertical="center"/>
      <protection locked="0"/>
    </xf>
    <xf numFmtId="4" fontId="2" fillId="4" borderId="12" xfId="2" applyNumberFormat="1" applyFont="1" applyFill="1" applyBorder="1" applyAlignment="1" applyProtection="1">
      <alignment horizontal="right" vertical="center"/>
      <protection locked="0"/>
    </xf>
    <xf numFmtId="4" fontId="8" fillId="4" borderId="6" xfId="2" applyNumberFormat="1" applyFont="1" applyFill="1" applyBorder="1" applyAlignment="1" applyProtection="1">
      <alignment horizontal="right" vertical="center"/>
      <protection locked="0"/>
    </xf>
    <xf numFmtId="4" fontId="2" fillId="0" borderId="6" xfId="2" applyNumberFormat="1" applyFont="1" applyBorder="1" applyAlignment="1" applyProtection="1">
      <alignment horizontal="left" vertical="center" wrapText="1" indent="2"/>
    </xf>
    <xf numFmtId="4" fontId="2" fillId="0" borderId="14" xfId="2" applyNumberFormat="1" applyFont="1" applyBorder="1" applyAlignment="1" applyProtection="1">
      <alignment horizontal="center" vertical="center"/>
    </xf>
    <xf numFmtId="4" fontId="2" fillId="0" borderId="6" xfId="2" applyNumberFormat="1" applyFont="1" applyBorder="1" applyAlignment="1" applyProtection="1">
      <alignment horizontal="left" vertical="center" wrapText="1" indent="3"/>
    </xf>
    <xf numFmtId="4" fontId="3" fillId="6" borderId="15" xfId="2" applyNumberFormat="1" applyFont="1" applyFill="1" applyBorder="1" applyAlignment="1" applyProtection="1">
      <alignment horizontal="center" vertical="center" wrapText="1"/>
    </xf>
    <xf numFmtId="4" fontId="3" fillId="6" borderId="16" xfId="2" applyNumberFormat="1" applyFont="1" applyFill="1" applyBorder="1" applyAlignment="1" applyProtection="1">
      <alignment vertical="center" wrapText="1"/>
    </xf>
    <xf numFmtId="4" fontId="2" fillId="6" borderId="16" xfId="2" applyNumberFormat="1" applyFont="1" applyFill="1" applyBorder="1" applyAlignment="1" applyProtection="1">
      <alignment horizontal="center" vertical="center" wrapText="1"/>
    </xf>
    <xf numFmtId="4" fontId="2" fillId="6" borderId="6" xfId="2" applyNumberFormat="1" applyFont="1" applyFill="1" applyBorder="1" applyAlignment="1" applyProtection="1">
      <alignment horizontal="right" vertical="center"/>
    </xf>
    <xf numFmtId="4" fontId="2" fillId="6" borderId="12" xfId="2" applyNumberFormat="1" applyFont="1" applyFill="1" applyBorder="1" applyAlignment="1" applyProtection="1">
      <alignment horizontal="right" vertical="center"/>
    </xf>
    <xf numFmtId="4" fontId="2" fillId="0" borderId="17" xfId="2" applyNumberFormat="1" applyFont="1" applyBorder="1" applyAlignment="1" applyProtection="1">
      <alignment horizontal="center" vertical="center"/>
    </xf>
    <xf numFmtId="4" fontId="2" fillId="0" borderId="6" xfId="2" applyNumberFormat="1" applyFont="1" applyBorder="1" applyAlignment="1" applyProtection="1">
      <alignment horizontal="left" vertical="center" wrapText="1" indent="1"/>
    </xf>
    <xf numFmtId="4" fontId="7" fillId="5" borderId="6" xfId="4" applyNumberFormat="1" applyFont="1" applyFill="1" applyBorder="1" applyAlignment="1" applyProtection="1">
      <alignment horizontal="right" vertical="center"/>
    </xf>
    <xf numFmtId="4" fontId="7" fillId="5" borderId="12" xfId="4" applyNumberFormat="1" applyFont="1" applyFill="1" applyBorder="1" applyAlignment="1" applyProtection="1">
      <alignment horizontal="right" vertical="center"/>
    </xf>
    <xf numFmtId="4" fontId="8" fillId="5" borderId="6" xfId="4" applyNumberFormat="1" applyFont="1" applyFill="1" applyBorder="1" applyAlignment="1" applyProtection="1">
      <alignment horizontal="right" vertical="center"/>
    </xf>
    <xf numFmtId="4" fontId="8" fillId="5" borderId="12" xfId="4" applyNumberFormat="1" applyFont="1" applyFill="1" applyBorder="1" applyAlignment="1" applyProtection="1">
      <alignment horizontal="right" vertical="center"/>
    </xf>
    <xf numFmtId="4" fontId="8" fillId="0" borderId="6" xfId="5" applyNumberFormat="1" applyFont="1" applyFill="1" applyBorder="1" applyAlignment="1" applyProtection="1">
      <alignment horizontal="left" vertical="center" wrapText="1" indent="3"/>
    </xf>
    <xf numFmtId="4" fontId="8" fillId="0" borderId="6" xfId="4" applyNumberFormat="1" applyFont="1" applyFill="1" applyBorder="1" applyAlignment="1" applyProtection="1">
      <alignment horizontal="left" vertical="center" wrapText="1" indent="3"/>
    </xf>
    <xf numFmtId="4" fontId="8" fillId="0" borderId="12" xfId="4" applyNumberFormat="1" applyFont="1" applyFill="1" applyBorder="1" applyAlignment="1" applyProtection="1">
      <alignment horizontal="center" vertical="center" wrapText="1"/>
    </xf>
    <xf numFmtId="4" fontId="8" fillId="4" borderId="12" xfId="2" applyNumberFormat="1" applyFont="1" applyFill="1" applyBorder="1" applyAlignment="1" applyProtection="1">
      <alignment horizontal="right" vertical="center"/>
      <protection locked="0"/>
    </xf>
    <xf numFmtId="4" fontId="8" fillId="0" borderId="6" xfId="4" applyNumberFormat="1" applyFont="1" applyFill="1" applyBorder="1" applyAlignment="1" applyProtection="1">
      <alignment horizontal="left" vertical="center" wrapText="1" indent="1"/>
    </xf>
    <xf numFmtId="4" fontId="8" fillId="0" borderId="6" xfId="4" applyNumberFormat="1" applyFont="1" applyFill="1" applyBorder="1" applyAlignment="1" applyProtection="1">
      <alignment horizontal="left" vertical="center" wrapText="1" indent="2"/>
    </xf>
    <xf numFmtId="4" fontId="9" fillId="0" borderId="0" xfId="4" applyNumberFormat="1" applyFont="1" applyFill="1" applyBorder="1" applyAlignment="1" applyProtection="1">
      <alignment vertical="center"/>
    </xf>
    <xf numFmtId="4" fontId="10" fillId="0" borderId="0" xfId="4" applyNumberFormat="1" applyFont="1" applyFill="1" applyBorder="1" applyAlignment="1" applyProtection="1">
      <alignment vertical="center"/>
    </xf>
    <xf numFmtId="4" fontId="11" fillId="0" borderId="0" xfId="4" applyNumberFormat="1" applyFont="1" applyFill="1" applyBorder="1" applyAlignment="1" applyProtection="1">
      <alignment vertical="center"/>
    </xf>
    <xf numFmtId="4" fontId="8" fillId="4" borderId="6" xfId="4" applyNumberFormat="1" applyFont="1" applyFill="1" applyBorder="1" applyAlignment="1" applyProtection="1">
      <alignment horizontal="right" vertical="center"/>
      <protection locked="0"/>
    </xf>
    <xf numFmtId="4" fontId="8" fillId="4" borderId="12" xfId="4" applyNumberFormat="1" applyFont="1" applyFill="1" applyBorder="1" applyAlignment="1" applyProtection="1">
      <alignment horizontal="right" vertical="center"/>
      <protection locked="0"/>
    </xf>
    <xf numFmtId="4" fontId="7" fillId="4" borderId="6" xfId="4" applyNumberFormat="1" applyFont="1" applyFill="1" applyBorder="1" applyAlignment="1" applyProtection="1">
      <alignment horizontal="right" vertical="center"/>
      <protection locked="0"/>
    </xf>
    <xf numFmtId="4" fontId="7" fillId="4" borderId="12" xfId="4" applyNumberFormat="1" applyFont="1" applyFill="1" applyBorder="1" applyAlignment="1" applyProtection="1">
      <alignment horizontal="right" vertical="center"/>
      <protection locked="0"/>
    </xf>
    <xf numFmtId="4" fontId="2" fillId="0" borderId="12" xfId="2" applyNumberFormat="1" applyFont="1" applyFill="1" applyBorder="1" applyAlignment="1" applyProtection="1">
      <alignment horizontal="center" vertical="center" wrapText="1"/>
    </xf>
    <xf numFmtId="4" fontId="7" fillId="4" borderId="12" xfId="2" applyNumberFormat="1" applyFont="1" applyFill="1" applyBorder="1" applyAlignment="1" applyProtection="1">
      <alignment horizontal="right" vertical="center"/>
      <protection locked="0"/>
    </xf>
    <xf numFmtId="4" fontId="2" fillId="0" borderId="19" xfId="2" applyNumberFormat="1" applyFont="1" applyBorder="1" applyAlignment="1" applyProtection="1">
      <alignment horizontal="left" vertical="center" wrapText="1" indent="1"/>
    </xf>
    <xf numFmtId="4" fontId="2" fillId="0" borderId="20" xfId="2" applyNumberFormat="1" applyFont="1" applyBorder="1" applyAlignment="1" applyProtection="1">
      <alignment horizontal="left" vertical="center" wrapText="1" indent="1"/>
    </xf>
    <xf numFmtId="4" fontId="2" fillId="0" borderId="20" xfId="2" applyNumberFormat="1" applyFont="1" applyBorder="1" applyAlignment="1" applyProtection="1">
      <alignment horizontal="left" vertical="center" wrapText="1" indent="2"/>
    </xf>
    <xf numFmtId="4" fontId="2" fillId="0" borderId="21" xfId="2" applyNumberFormat="1" applyFont="1" applyBorder="1" applyAlignment="1" applyProtection="1">
      <alignment horizontal="center" vertical="center"/>
    </xf>
    <xf numFmtId="4" fontId="2" fillId="0" borderId="6" xfId="2" applyNumberFormat="1" applyFont="1" applyFill="1" applyBorder="1" applyAlignment="1" applyProtection="1">
      <alignment horizontal="right" vertical="center"/>
    </xf>
    <xf numFmtId="4" fontId="2" fillId="0" borderId="12" xfId="2" applyNumberFormat="1" applyFont="1" applyFill="1" applyBorder="1" applyAlignment="1" applyProtection="1">
      <alignment horizontal="right" vertical="center"/>
    </xf>
    <xf numFmtId="4" fontId="2" fillId="7" borderId="22" xfId="2" applyNumberFormat="1" applyFont="1" applyFill="1" applyBorder="1" applyAlignment="1" applyProtection="1">
      <alignment horizontal="center" vertical="center"/>
    </xf>
    <xf numFmtId="4" fontId="12" fillId="7" borderId="16" xfId="0" applyNumberFormat="1" applyFont="1" applyFill="1" applyBorder="1" applyAlignment="1" applyProtection="1">
      <alignment horizontal="left" vertical="center" indent="1"/>
    </xf>
    <xf numFmtId="4" fontId="2" fillId="7" borderId="16" xfId="2" applyNumberFormat="1" applyFont="1" applyFill="1" applyBorder="1" applyAlignment="1" applyProtection="1">
      <alignment horizontal="center" vertical="center" wrapText="1"/>
    </xf>
    <xf numFmtId="4" fontId="2" fillId="7" borderId="6" xfId="2" applyNumberFormat="1" applyFont="1" applyFill="1" applyBorder="1" applyAlignment="1" applyProtection="1">
      <alignment horizontal="right" vertical="center"/>
    </xf>
    <xf numFmtId="4" fontId="2" fillId="7" borderId="12" xfId="2" applyNumberFormat="1" applyFont="1" applyFill="1" applyBorder="1" applyAlignment="1" applyProtection="1">
      <alignment horizontal="right" vertical="center"/>
    </xf>
    <xf numFmtId="4" fontId="7" fillId="5" borderId="12" xfId="2" applyNumberFormat="1" applyFont="1" applyFill="1" applyBorder="1" applyAlignment="1" applyProtection="1">
      <alignment horizontal="right" vertical="center"/>
    </xf>
    <xf numFmtId="4" fontId="8" fillId="0" borderId="20" xfId="2" applyNumberFormat="1" applyFont="1" applyBorder="1" applyAlignment="1" applyProtection="1">
      <alignment horizontal="left" vertical="center" wrapText="1" indent="2"/>
    </xf>
    <xf numFmtId="4" fontId="2" fillId="0" borderId="23" xfId="2" applyNumberFormat="1" applyFont="1" applyFill="1" applyBorder="1" applyAlignment="1" applyProtection="1">
      <alignment horizontal="center" vertical="center" wrapText="1"/>
    </xf>
    <xf numFmtId="4" fontId="2" fillId="0" borderId="16" xfId="2" applyNumberFormat="1" applyFont="1" applyBorder="1" applyAlignment="1" applyProtection="1">
      <alignment horizontal="left" vertical="center" wrapText="1" indent="2"/>
    </xf>
    <xf numFmtId="4" fontId="11" fillId="4" borderId="6" xfId="2" applyNumberFormat="1" applyFont="1" applyFill="1" applyBorder="1" applyAlignment="1" applyProtection="1">
      <alignment horizontal="right" vertical="center"/>
      <protection locked="0"/>
    </xf>
    <xf numFmtId="4" fontId="2" fillId="0" borderId="20" xfId="2" applyNumberFormat="1" applyFont="1" applyBorder="1" applyAlignment="1" applyProtection="1">
      <alignment horizontal="left" vertical="center" wrapText="1" indent="3"/>
    </xf>
    <xf numFmtId="4" fontId="2" fillId="0" borderId="24" xfId="2" applyNumberFormat="1" applyFont="1" applyFill="1" applyBorder="1" applyAlignment="1" applyProtection="1">
      <alignment horizontal="center" vertical="center" wrapText="1"/>
    </xf>
    <xf numFmtId="4" fontId="3" fillId="0" borderId="13" xfId="2" applyNumberFormat="1" applyFont="1" applyFill="1" applyBorder="1" applyAlignment="1" applyProtection="1">
      <alignment horizontal="center" vertical="center"/>
    </xf>
    <xf numFmtId="4" fontId="3" fillId="0" borderId="19" xfId="2" applyNumberFormat="1" applyFont="1" applyFill="1" applyBorder="1" applyAlignment="1" applyProtection="1">
      <alignment vertical="center" wrapText="1"/>
    </xf>
    <xf numFmtId="4" fontId="7" fillId="0" borderId="12" xfId="2" applyNumberFormat="1" applyFont="1" applyFill="1" applyBorder="1" applyAlignment="1" applyProtection="1">
      <alignment horizontal="center" vertical="center" wrapText="1"/>
    </xf>
    <xf numFmtId="4" fontId="3" fillId="0" borderId="6" xfId="2" applyNumberFormat="1" applyFont="1" applyFill="1" applyBorder="1" applyAlignment="1" applyProtection="1">
      <alignment vertical="center" wrapText="1"/>
    </xf>
    <xf numFmtId="4" fontId="2" fillId="0" borderId="22" xfId="2" applyNumberFormat="1" applyFont="1" applyBorder="1" applyAlignment="1" applyProtection="1">
      <alignment horizontal="center" vertical="center"/>
    </xf>
    <xf numFmtId="4" fontId="8" fillId="0" borderId="16" xfId="2" applyNumberFormat="1" applyFont="1" applyBorder="1" applyAlignment="1" applyProtection="1">
      <alignment horizontal="center" vertical="center" wrapText="1"/>
    </xf>
    <xf numFmtId="4" fontId="2" fillId="0" borderId="6" xfId="2" applyNumberFormat="1" applyFont="1" applyBorder="1" applyAlignment="1" applyProtection="1">
      <alignment vertical="center" wrapText="1"/>
    </xf>
    <xf numFmtId="4" fontId="3" fillId="0" borderId="14" xfId="2" applyNumberFormat="1" applyFont="1" applyFill="1" applyBorder="1" applyAlignment="1" applyProtection="1">
      <alignment horizontal="center" vertical="center"/>
    </xf>
    <xf numFmtId="4" fontId="3" fillId="0" borderId="20" xfId="2" applyNumberFormat="1" applyFont="1" applyFill="1" applyBorder="1" applyAlignment="1" applyProtection="1">
      <alignment vertical="center" wrapText="1"/>
    </xf>
    <xf numFmtId="4" fontId="3" fillId="0" borderId="7" xfId="2" applyNumberFormat="1" applyFont="1" applyFill="1" applyBorder="1" applyAlignment="1" applyProtection="1">
      <alignment horizontal="center" vertical="center"/>
    </xf>
    <xf numFmtId="4" fontId="3" fillId="0" borderId="8" xfId="2" applyNumberFormat="1" applyFont="1" applyFill="1" applyBorder="1" applyAlignment="1" applyProtection="1">
      <alignment vertical="center" wrapText="1"/>
    </xf>
    <xf numFmtId="4" fontId="3" fillId="0" borderId="9" xfId="2" applyNumberFormat="1" applyFont="1" applyFill="1" applyBorder="1" applyAlignment="1" applyProtection="1">
      <alignment horizontal="center" vertical="center" wrapText="1"/>
    </xf>
    <xf numFmtId="4" fontId="11" fillId="0" borderId="0" xfId="1" applyNumberFormat="1" applyFont="1" applyAlignment="1" applyProtection="1">
      <alignment vertical="center"/>
    </xf>
    <xf numFmtId="4" fontId="2" fillId="0" borderId="14" xfId="2" applyNumberFormat="1" applyFont="1" applyBorder="1" applyAlignment="1" applyProtection="1">
      <alignment horizontal="center" vertical="center"/>
    </xf>
    <xf numFmtId="4" fontId="2" fillId="0" borderId="18" xfId="2" applyNumberFormat="1" applyFont="1" applyBorder="1" applyAlignment="1" applyProtection="1">
      <alignment horizontal="center" vertical="center"/>
    </xf>
    <xf numFmtId="4" fontId="2" fillId="0" borderId="17" xfId="2" applyNumberFormat="1" applyFont="1" applyBorder="1" applyAlignment="1" applyProtection="1">
      <alignment horizontal="center" vertical="center"/>
    </xf>
    <xf numFmtId="4" fontId="8" fillId="0" borderId="18" xfId="0" applyNumberFormat="1" applyFont="1" applyBorder="1" applyProtection="1"/>
    <xf numFmtId="4" fontId="8" fillId="0" borderId="17" xfId="0" applyNumberFormat="1" applyFont="1" applyBorder="1" applyProtection="1"/>
    <xf numFmtId="4" fontId="3" fillId="2" borderId="1" xfId="2" applyNumberFormat="1" applyFont="1" applyFill="1" applyBorder="1" applyAlignment="1" applyProtection="1">
      <alignment horizontal="center" vertical="center"/>
    </xf>
    <xf numFmtId="4" fontId="3" fillId="2" borderId="0" xfId="2" applyNumberFormat="1" applyFont="1" applyFill="1" applyBorder="1" applyAlignment="1" applyProtection="1">
      <alignment horizontal="center" vertical="center"/>
    </xf>
    <xf numFmtId="4" fontId="3" fillId="0" borderId="2" xfId="2" applyNumberFormat="1" applyFont="1" applyBorder="1" applyAlignment="1" applyProtection="1">
      <alignment horizontal="center" vertical="center" wrapText="1"/>
    </xf>
    <xf numFmtId="4" fontId="3" fillId="0" borderId="7" xfId="2" applyNumberFormat="1" applyFont="1" applyBorder="1" applyAlignment="1" applyProtection="1">
      <alignment horizontal="center" vertical="center" wrapText="1"/>
    </xf>
    <xf numFmtId="4" fontId="3" fillId="0" borderId="3" xfId="2" applyNumberFormat="1" applyFont="1" applyBorder="1" applyAlignment="1" applyProtection="1">
      <alignment horizontal="center" vertical="center" wrapText="1"/>
    </xf>
    <xf numFmtId="4" fontId="3" fillId="0" borderId="8" xfId="2" applyNumberFormat="1" applyFont="1" applyBorder="1" applyAlignment="1" applyProtection="1">
      <alignment horizontal="center" vertical="center" wrapText="1"/>
    </xf>
    <xf numFmtId="4" fontId="3" fillId="0" borderId="4" xfId="2" applyNumberFormat="1" applyFont="1" applyBorder="1" applyAlignment="1" applyProtection="1">
      <alignment horizontal="center" vertical="center" wrapText="1"/>
    </xf>
    <xf numFmtId="4" fontId="3" fillId="0" borderId="5" xfId="2" applyNumberFormat="1" applyFont="1" applyBorder="1" applyAlignment="1" applyProtection="1">
      <alignment horizontal="center" vertical="center" wrapText="1"/>
    </xf>
    <xf numFmtId="4" fontId="3" fillId="0" borderId="6" xfId="2" applyNumberFormat="1" applyFont="1" applyBorder="1" applyAlignment="1" applyProtection="1">
      <alignment horizontal="center" vertical="center" wrapText="1"/>
    </xf>
  </cellXfs>
  <cellStyles count="6">
    <cellStyle name="Обычный" xfId="0" builtinId="0"/>
    <cellStyle name="Обычный_20E2" xfId="5"/>
    <cellStyle name="Обычный_Калькуляция расходов на производство и передачу ТЭ" xfId="2"/>
    <cellStyle name="Обычный_Калькуляция расходов по передаче ТЭ" xfId="4"/>
    <cellStyle name="Обычный_Калькуляция теплоснабжения (объединенная) - правка РЭК, Аня 11.04.2012" xfId="1"/>
    <cellStyle name="Обычный_Полезный отпуск электроэнергии и мощности, реализуемой по регулируемым ценам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kripitsyna\AppData\Local\Temp\Temp1_CALC_TE_2013_PLAN_1_77.zip\CALC.TE.2013.PLAN.1.7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42;&#1089;&#1077;%20&#1087;&#1086;%20&#1090;&#1077;&#1087;&#1083;&#1086;&#1074;&#1086;&#1081;%20%20&#1101;&#1085;&#1077;&#1088;&#1075;&#1080;&#1080;\&#1056;&#1069;&#1050;%20%20&#1050;&#1040;&#1051;&#1068;&#1050;&#1059;&#1051;&#1071;&#1062;.&#1055;&#1054;%20&#1055;&#1045;&#1056;&#1045;&#1044;.&#1058;&#1069;-1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Калькуляция"/>
      <sheetName val="Топливо"/>
      <sheetName val="Комментарии"/>
      <sheetName val="Проверка"/>
      <sheetName val="TEHSHEET"/>
      <sheetName val="et_union"/>
      <sheetName val="modDblClick"/>
      <sheetName val="modUpdTemplMain"/>
      <sheetName val="AllSheetsInThisWorkbook"/>
      <sheetName val="REESTR_ORG"/>
      <sheetName val="REESTR_FILTERED"/>
      <sheetName val="modHyp"/>
      <sheetName val="modChange"/>
      <sheetName val="modCheck"/>
      <sheetName val="modServiceModule"/>
      <sheetName val="modCommandButton"/>
      <sheetName val="modReestr"/>
      <sheetName val="modClassifierValidate"/>
      <sheetName val="modInfo"/>
      <sheetName val="modfrmReestr"/>
    </sheetNames>
    <sheetDataSet>
      <sheetData sheetId="0" refreshError="1"/>
      <sheetData sheetId="1" refreshError="1"/>
      <sheetData sheetId="2" refreshError="1"/>
      <sheetData sheetId="3" refreshError="1">
        <row r="11">
          <cell r="F11">
            <v>2013</v>
          </cell>
        </row>
        <row r="13">
          <cell r="F13" t="str">
            <v>нет</v>
          </cell>
        </row>
        <row r="15">
          <cell r="F15" t="str">
            <v>ЗАО "ПОЛЕТ-ИНЖЕНЕР"</v>
          </cell>
        </row>
        <row r="20">
          <cell r="F20" t="str">
            <v>Калькуляция на поставку потребителям приобретенной тепловой энергии</v>
          </cell>
        </row>
        <row r="23">
          <cell r="F23" t="str">
            <v>руб.,Гкал</v>
          </cell>
        </row>
      </sheetData>
      <sheetData sheetId="4" refreshError="1"/>
      <sheetData sheetId="5" refreshError="1"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Покупка"/>
      <sheetName val="Эл.эн."/>
      <sheetName val="Лист1"/>
    </sheetNames>
    <sheetDataSet>
      <sheetData sheetId="0"/>
      <sheetData sheetId="1">
        <row r="40">
          <cell r="H40">
            <v>8470.2739999999976</v>
          </cell>
          <cell r="I40">
            <v>1067.5244316512076</v>
          </cell>
          <cell r="M40">
            <v>642.22199999999998</v>
          </cell>
          <cell r="N40">
            <v>32.15</v>
          </cell>
          <cell r="T40">
            <v>13100.290000000003</v>
          </cell>
          <cell r="U40">
            <v>1090.5999999999995</v>
          </cell>
          <cell r="Y40">
            <v>1240.9469999999997</v>
          </cell>
          <cell r="Z40">
            <v>32.15</v>
          </cell>
        </row>
        <row r="41">
          <cell r="H41">
            <v>161.071</v>
          </cell>
          <cell r="I41">
            <v>1107.1127147655382</v>
          </cell>
          <cell r="M41">
            <v>56.547000000000004</v>
          </cell>
          <cell r="N41">
            <v>34.08</v>
          </cell>
        </row>
        <row r="42">
          <cell r="H42">
            <v>4729.4920000000002</v>
          </cell>
          <cell r="I42">
            <v>1135.3911108952084</v>
          </cell>
          <cell r="M42">
            <v>166.44900000000001</v>
          </cell>
          <cell r="N42">
            <v>35.729999999999997</v>
          </cell>
        </row>
        <row r="76">
          <cell r="H76">
            <v>13135.124999999998</v>
          </cell>
          <cell r="I76">
            <v>1091.281400651307</v>
          </cell>
          <cell r="M76">
            <v>945.10100000000011</v>
          </cell>
          <cell r="N76">
            <v>33.198569697841805</v>
          </cell>
        </row>
      </sheetData>
      <sheetData sheetId="2">
        <row r="23">
          <cell r="D23">
            <v>3.2474699999999999</v>
          </cell>
        </row>
        <row r="28">
          <cell r="D28">
            <v>2.9226450675613687</v>
          </cell>
          <cell r="I28">
            <v>124386.24000000001</v>
          </cell>
        </row>
        <row r="29">
          <cell r="D29">
            <v>3.2201069934467199</v>
          </cell>
          <cell r="I29">
            <v>7781.08</v>
          </cell>
        </row>
        <row r="30">
          <cell r="I30">
            <v>88581.16</v>
          </cell>
        </row>
        <row r="50">
          <cell r="I50">
            <v>219700.48000000001</v>
          </cell>
        </row>
        <row r="54">
          <cell r="M54">
            <v>3.0504710288729573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abSelected="1" topLeftCell="D4" workbookViewId="0">
      <selection activeCell="M107" sqref="M107"/>
    </sheetView>
  </sheetViews>
  <sheetFormatPr defaultRowHeight="11.25" x14ac:dyDescent="0.25"/>
  <cols>
    <col min="1" max="2" width="0" style="1" hidden="1" customWidth="1"/>
    <col min="3" max="3" width="5.7109375" style="1" customWidth="1"/>
    <col min="4" max="4" width="10.7109375" style="1" customWidth="1"/>
    <col min="5" max="5" width="56.140625" style="1" customWidth="1"/>
    <col min="6" max="13" width="15.7109375" style="1" customWidth="1"/>
    <col min="14" max="239" width="9.140625" style="1"/>
    <col min="240" max="241" width="0" style="1" hidden="1" customWidth="1"/>
    <col min="242" max="242" width="5.7109375" style="1" customWidth="1"/>
    <col min="243" max="243" width="10.7109375" style="1" customWidth="1"/>
    <col min="244" max="244" width="56.140625" style="1" customWidth="1"/>
    <col min="245" max="250" width="15.7109375" style="1" customWidth="1"/>
    <col min="251" max="251" width="9.42578125" style="1" customWidth="1"/>
    <col min="252" max="16384" width="9.140625" style="1"/>
  </cols>
  <sheetData>
    <row r="1" spans="3:13" hidden="1" x14ac:dyDescent="0.25"/>
    <row r="2" spans="3:13" hidden="1" x14ac:dyDescent="0.25"/>
    <row r="3" spans="3:13" hidden="1" x14ac:dyDescent="0.25"/>
    <row r="5" spans="3:13" ht="15" customHeight="1" x14ac:dyDescent="0.25">
      <c r="D5" s="99" t="str">
        <f>IF(calc_type&lt;&gt;"",calc_type,"Калькуляция расходов на тепловую энергию")</f>
        <v>Калькуляция на поставку потребителям приобретенной тепловой энергии</v>
      </c>
      <c r="E5" s="100"/>
      <c r="F5" s="100"/>
      <c r="G5" s="100"/>
      <c r="H5" s="100"/>
      <c r="I5" s="100"/>
      <c r="J5" s="100"/>
      <c r="K5" s="100"/>
      <c r="L5" s="100"/>
      <c r="M5" s="100"/>
    </row>
    <row r="6" spans="3:13" ht="15" customHeight="1" x14ac:dyDescent="0.25">
      <c r="D6" s="99" t="str">
        <f>IF(fil_flag="да",fil &amp; " (филиал " &amp; org &amp; ")",org)</f>
        <v>ЗАО "ПОЛЕТ-ИНЖЕНЕР"</v>
      </c>
      <c r="E6" s="100"/>
      <c r="F6" s="100"/>
      <c r="G6" s="100"/>
      <c r="H6" s="100"/>
      <c r="I6" s="100"/>
      <c r="J6" s="100"/>
      <c r="K6" s="100"/>
      <c r="L6" s="100"/>
      <c r="M6" s="100"/>
    </row>
    <row r="7" spans="3:13" x14ac:dyDescent="0.25">
      <c r="D7" s="2"/>
      <c r="E7" s="3"/>
      <c r="F7" s="2"/>
      <c r="G7" s="4"/>
      <c r="H7" s="4"/>
      <c r="I7" s="4"/>
      <c r="J7" s="4"/>
      <c r="K7" s="4"/>
      <c r="L7" s="4"/>
      <c r="M7" s="4"/>
    </row>
    <row r="8" spans="3:13" ht="33.75" customHeight="1" x14ac:dyDescent="0.25">
      <c r="D8" s="101" t="s">
        <v>0</v>
      </c>
      <c r="E8" s="103" t="s">
        <v>1</v>
      </c>
      <c r="F8" s="103" t="s">
        <v>2</v>
      </c>
      <c r="G8" s="105" t="str">
        <f>"Предшествующий период регулирования (" &amp; god-2 &amp; " г.)"</f>
        <v>Предшествующий период регулирования (2011 г.)</v>
      </c>
      <c r="H8" s="106"/>
      <c r="I8" s="107" t="str">
        <f>"Текущий период (" &amp; god-1 &amp; " г.)"</f>
        <v>Текущий период (2012 г.)</v>
      </c>
      <c r="J8" s="107"/>
      <c r="K8" s="107"/>
      <c r="L8" s="107"/>
      <c r="M8" s="107"/>
    </row>
    <row r="9" spans="3:13" ht="34.5" thickBot="1" x14ac:dyDescent="0.3">
      <c r="D9" s="102"/>
      <c r="E9" s="104"/>
      <c r="F9" s="104"/>
      <c r="G9" s="5" t="s">
        <v>3</v>
      </c>
      <c r="H9" s="6" t="s">
        <v>4</v>
      </c>
      <c r="I9" s="7" t="s">
        <v>5</v>
      </c>
      <c r="J9" s="7" t="s">
        <v>6</v>
      </c>
      <c r="K9" s="7" t="s">
        <v>7</v>
      </c>
      <c r="L9" s="7" t="s">
        <v>8</v>
      </c>
      <c r="M9" s="7" t="s">
        <v>9</v>
      </c>
    </row>
    <row r="10" spans="3:13" hidden="1" x14ac:dyDescent="0.25">
      <c r="D10" s="8">
        <v>1</v>
      </c>
      <c r="E10" s="8">
        <v>2</v>
      </c>
      <c r="F10" s="8">
        <v>3</v>
      </c>
      <c r="G10" s="8">
        <v>4</v>
      </c>
      <c r="H10" s="8">
        <v>5</v>
      </c>
      <c r="I10" s="9">
        <f>H10+1</f>
        <v>6</v>
      </c>
      <c r="J10" s="9">
        <f>I10+1</f>
        <v>7</v>
      </c>
      <c r="K10" s="9">
        <f>J10+1</f>
        <v>8</v>
      </c>
      <c r="L10" s="9">
        <f>K10+1</f>
        <v>9</v>
      </c>
      <c r="M10" s="9"/>
    </row>
    <row r="11" spans="3:13" ht="15" x14ac:dyDescent="0.25">
      <c r="C11" s="10"/>
      <c r="D11" s="11" t="s">
        <v>10</v>
      </c>
      <c r="E11" s="12" t="s">
        <v>11</v>
      </c>
      <c r="F11" s="13" t="str">
        <f>IF(izm_type&lt;&gt;"руб.,Гкал","тыс.","") &amp; "Гкал/ч"</f>
        <v>Гкал/ч</v>
      </c>
      <c r="G11" s="14"/>
      <c r="H11" s="15"/>
      <c r="I11" s="14"/>
      <c r="J11" s="14"/>
      <c r="K11" s="14"/>
      <c r="L11" s="14"/>
      <c r="M11" s="14"/>
    </row>
    <row r="12" spans="3:13" ht="15" x14ac:dyDescent="0.25">
      <c r="C12" s="10"/>
      <c r="D12" s="16" t="s">
        <v>12</v>
      </c>
      <c r="E12" s="17" t="s">
        <v>13</v>
      </c>
      <c r="F12" s="18" t="str">
        <f>IF(izm_type&lt;&gt;"руб.,Гкал","тыс.","") &amp; "Гкал"</f>
        <v>Гкал</v>
      </c>
      <c r="G12" s="14"/>
      <c r="H12" s="15"/>
      <c r="I12" s="14"/>
      <c r="J12" s="14"/>
      <c r="K12" s="14"/>
      <c r="L12" s="14"/>
      <c r="M12" s="14"/>
    </row>
    <row r="13" spans="3:13" ht="15" x14ac:dyDescent="0.25">
      <c r="C13" s="10"/>
      <c r="D13" s="16" t="s">
        <v>14</v>
      </c>
      <c r="E13" s="17" t="s">
        <v>15</v>
      </c>
      <c r="F13" s="18" t="str">
        <f>IF(izm_type&lt;&gt;"руб.,Гкал","тыс.","") &amp; "Гкал"</f>
        <v>Гкал</v>
      </c>
      <c r="G13" s="14"/>
      <c r="H13" s="15"/>
      <c r="I13" s="14"/>
      <c r="J13" s="14"/>
      <c r="K13" s="14"/>
      <c r="L13" s="14"/>
      <c r="M13" s="14"/>
    </row>
    <row r="14" spans="3:13" ht="15" x14ac:dyDescent="0.25">
      <c r="C14" s="10"/>
      <c r="D14" s="16" t="s">
        <v>16</v>
      </c>
      <c r="E14" s="17" t="s">
        <v>17</v>
      </c>
      <c r="F14" s="18" t="str">
        <f>IF(izm_type&lt;&gt;"руб.,Гкал","тыс.","") &amp; "Гкал"</f>
        <v>Гкал</v>
      </c>
      <c r="G14" s="14">
        <v>13636</v>
      </c>
      <c r="H14" s="15">
        <f>H61</f>
        <v>13100.290000000003</v>
      </c>
      <c r="I14" s="14">
        <f>I61</f>
        <v>8470.2739999999976</v>
      </c>
      <c r="J14" s="14">
        <f>J61</f>
        <v>161.071</v>
      </c>
      <c r="K14" s="14">
        <v>4317.4459999999999</v>
      </c>
      <c r="L14" s="14">
        <f>K14+J14+I14</f>
        <v>12948.790999999997</v>
      </c>
      <c r="M14" s="19">
        <v>13135.125</v>
      </c>
    </row>
    <row r="15" spans="3:13" ht="15" x14ac:dyDescent="0.25">
      <c r="C15" s="10"/>
      <c r="D15" s="16" t="s">
        <v>18</v>
      </c>
      <c r="E15" s="17" t="s">
        <v>19</v>
      </c>
      <c r="F15" s="18" t="str">
        <f>IF(izm_type&lt;&gt;"руб.,Гкал","тыс.","") &amp; "Гкал"</f>
        <v>Гкал</v>
      </c>
      <c r="G15" s="20">
        <f t="shared" ref="G15:M15" si="0">G16+G18</f>
        <v>13636</v>
      </c>
      <c r="H15" s="21">
        <f t="shared" si="0"/>
        <v>13100.294</v>
      </c>
      <c r="I15" s="20">
        <f t="shared" si="0"/>
        <v>8470.2739999999976</v>
      </c>
      <c r="J15" s="20">
        <f t="shared" si="0"/>
        <v>161.071</v>
      </c>
      <c r="K15" s="20">
        <f t="shared" si="0"/>
        <v>4317.4459999999999</v>
      </c>
      <c r="L15" s="20">
        <f t="shared" si="0"/>
        <v>12948.790999999997</v>
      </c>
      <c r="M15" s="22">
        <f t="shared" si="0"/>
        <v>13135.125</v>
      </c>
    </row>
    <row r="16" spans="3:13" ht="15" x14ac:dyDescent="0.25">
      <c r="C16" s="10"/>
      <c r="D16" s="16" t="s">
        <v>20</v>
      </c>
      <c r="E16" s="23" t="s">
        <v>21</v>
      </c>
      <c r="F16" s="18" t="str">
        <f>IF(izm_type&lt;&gt;"руб.,Гкал","тыс.","") &amp; "Гкал"</f>
        <v>Гкал</v>
      </c>
      <c r="G16" s="14">
        <v>300</v>
      </c>
      <c r="H16" s="15">
        <v>319</v>
      </c>
      <c r="I16" s="14">
        <v>150.00661199999999</v>
      </c>
      <c r="J16" s="14">
        <v>11.3545777</v>
      </c>
      <c r="K16" s="14">
        <v>143.39613779999999</v>
      </c>
      <c r="L16" s="14">
        <f>K16+J16+I16</f>
        <v>304.75732749999997</v>
      </c>
      <c r="M16" s="19">
        <v>371.72399999999999</v>
      </c>
    </row>
    <row r="17" spans="3:13" ht="15" x14ac:dyDescent="0.25">
      <c r="C17" s="10"/>
      <c r="D17" s="24" t="s">
        <v>22</v>
      </c>
      <c r="E17" s="25" t="s">
        <v>23</v>
      </c>
      <c r="F17" s="26" t="s">
        <v>24</v>
      </c>
      <c r="G17" s="27">
        <f t="shared" ref="G17:M17" si="1">(G16/G15*100)</f>
        <v>2.2000586682311529</v>
      </c>
      <c r="H17" s="28">
        <f t="shared" si="1"/>
        <v>2.435059854381894</v>
      </c>
      <c r="I17" s="27">
        <f t="shared" si="1"/>
        <v>1.7709770899973252</v>
      </c>
      <c r="J17" s="27">
        <f t="shared" si="1"/>
        <v>7.0494239807289958</v>
      </c>
      <c r="K17" s="27">
        <f t="shared" si="1"/>
        <v>3.3213186175345326</v>
      </c>
      <c r="L17" s="27">
        <f t="shared" si="1"/>
        <v>2.3535581623025656</v>
      </c>
      <c r="M17" s="29">
        <f t="shared" si="1"/>
        <v>2.8299997145059526</v>
      </c>
    </row>
    <row r="18" spans="3:13" ht="15" x14ac:dyDescent="0.25">
      <c r="C18" s="10"/>
      <c r="D18" s="16" t="s">
        <v>25</v>
      </c>
      <c r="E18" s="23" t="s">
        <v>26</v>
      </c>
      <c r="F18" s="18" t="str">
        <f t="shared" ref="F18:F24" si="2">IF(izm_type&lt;&gt;"руб.,Гкал","тыс.","") &amp; "Гкал"</f>
        <v>Гкал</v>
      </c>
      <c r="G18" s="20">
        <f t="shared" ref="G18:M18" si="3">G19+G20</f>
        <v>13336</v>
      </c>
      <c r="H18" s="21">
        <f t="shared" si="3"/>
        <v>12781.294</v>
      </c>
      <c r="I18" s="20">
        <f t="shared" si="3"/>
        <v>8320.2673879999984</v>
      </c>
      <c r="J18" s="20">
        <f t="shared" si="3"/>
        <v>149.7164223</v>
      </c>
      <c r="K18" s="20">
        <f t="shared" si="3"/>
        <v>4174.0498621999996</v>
      </c>
      <c r="L18" s="20">
        <f t="shared" si="3"/>
        <v>12644.033672499998</v>
      </c>
      <c r="M18" s="22">
        <f t="shared" si="3"/>
        <v>12763.401</v>
      </c>
    </row>
    <row r="19" spans="3:13" ht="15" x14ac:dyDescent="0.25">
      <c r="C19" s="10"/>
      <c r="D19" s="24" t="s">
        <v>27</v>
      </c>
      <c r="E19" s="25" t="s">
        <v>28</v>
      </c>
      <c r="F19" s="30" t="str">
        <f t="shared" si="2"/>
        <v>Гкал</v>
      </c>
      <c r="G19" s="31"/>
      <c r="H19" s="32">
        <v>32.229999999999997</v>
      </c>
      <c r="I19" s="31">
        <v>17.687000000000001</v>
      </c>
      <c r="J19" s="31">
        <v>1.7679999999999998</v>
      </c>
      <c r="K19" s="31">
        <v>10.132</v>
      </c>
      <c r="L19" s="31">
        <f>K19+J19+I19</f>
        <v>29.587</v>
      </c>
      <c r="M19" s="33">
        <v>29.317</v>
      </c>
    </row>
    <row r="20" spans="3:13" ht="15" x14ac:dyDescent="0.25">
      <c r="C20" s="10"/>
      <c r="D20" s="24" t="s">
        <v>29</v>
      </c>
      <c r="E20" s="25" t="s">
        <v>30</v>
      </c>
      <c r="F20" s="30" t="str">
        <f t="shared" si="2"/>
        <v>Гкал</v>
      </c>
      <c r="G20" s="27">
        <f t="shared" ref="G20:M20" si="4">SUM(G21:G23)</f>
        <v>13336</v>
      </c>
      <c r="H20" s="28">
        <f t="shared" si="4"/>
        <v>12749.064</v>
      </c>
      <c r="I20" s="27">
        <f t="shared" si="4"/>
        <v>8302.5803879999985</v>
      </c>
      <c r="J20" s="27">
        <f t="shared" si="4"/>
        <v>147.9484223</v>
      </c>
      <c r="K20" s="27">
        <f t="shared" si="4"/>
        <v>4163.9178621999999</v>
      </c>
      <c r="L20" s="27">
        <f t="shared" si="4"/>
        <v>12614.446672499998</v>
      </c>
      <c r="M20" s="29">
        <f t="shared" si="4"/>
        <v>12734.084000000001</v>
      </c>
    </row>
    <row r="21" spans="3:13" ht="15" x14ac:dyDescent="0.25">
      <c r="C21" s="10"/>
      <c r="D21" s="24" t="s">
        <v>31</v>
      </c>
      <c r="E21" s="34" t="s">
        <v>32</v>
      </c>
      <c r="F21" s="30" t="str">
        <f t="shared" si="2"/>
        <v>Гкал</v>
      </c>
      <c r="G21" s="31"/>
      <c r="H21" s="32"/>
      <c r="I21" s="31"/>
      <c r="J21" s="31"/>
      <c r="K21" s="31"/>
      <c r="L21" s="31"/>
      <c r="M21" s="33"/>
    </row>
    <row r="22" spans="3:13" ht="15" x14ac:dyDescent="0.25">
      <c r="C22" s="10"/>
      <c r="D22" s="24" t="s">
        <v>33</v>
      </c>
      <c r="E22" s="34" t="s">
        <v>34</v>
      </c>
      <c r="F22" s="30" t="str">
        <f t="shared" si="2"/>
        <v>Гкал</v>
      </c>
      <c r="G22" s="31"/>
      <c r="H22" s="32"/>
      <c r="I22" s="31"/>
      <c r="J22" s="31"/>
      <c r="K22" s="31"/>
      <c r="L22" s="31"/>
      <c r="M22" s="33"/>
    </row>
    <row r="23" spans="3:13" ht="15" x14ac:dyDescent="0.25">
      <c r="C23" s="10"/>
      <c r="D23" s="24" t="s">
        <v>35</v>
      </c>
      <c r="E23" s="34" t="s">
        <v>36</v>
      </c>
      <c r="F23" s="30" t="str">
        <f t="shared" si="2"/>
        <v>Гкал</v>
      </c>
      <c r="G23" s="31">
        <v>13336</v>
      </c>
      <c r="H23" s="32">
        <v>12749.064</v>
      </c>
      <c r="I23" s="31">
        <v>8302.5803879999985</v>
      </c>
      <c r="J23" s="31">
        <v>147.9484223</v>
      </c>
      <c r="K23" s="31">
        <v>4163.9178621999999</v>
      </c>
      <c r="L23" s="31">
        <f>K23+J23+I23</f>
        <v>12614.446672499998</v>
      </c>
      <c r="M23" s="33">
        <v>12734.084000000001</v>
      </c>
    </row>
    <row r="24" spans="3:13" ht="15" x14ac:dyDescent="0.25">
      <c r="C24" s="10"/>
      <c r="D24" s="35" t="s">
        <v>37</v>
      </c>
      <c r="E24" s="36" t="s">
        <v>38</v>
      </c>
      <c r="F24" s="30" t="str">
        <f t="shared" si="2"/>
        <v>Гкал</v>
      </c>
      <c r="G24" s="31"/>
      <c r="H24" s="32"/>
      <c r="I24" s="31"/>
      <c r="J24" s="31"/>
      <c r="K24" s="31"/>
      <c r="L24" s="31"/>
      <c r="M24" s="33"/>
    </row>
    <row r="25" spans="3:13" ht="15" x14ac:dyDescent="0.25">
      <c r="C25" s="10"/>
      <c r="D25" s="37" t="s">
        <v>39</v>
      </c>
      <c r="E25" s="38" t="s">
        <v>40</v>
      </c>
      <c r="F25" s="39"/>
      <c r="G25" s="40"/>
      <c r="H25" s="41"/>
      <c r="I25" s="40"/>
      <c r="J25" s="40"/>
      <c r="K25" s="40"/>
      <c r="L25" s="40"/>
      <c r="M25" s="40"/>
    </row>
    <row r="26" spans="3:13" ht="15" hidden="1" x14ac:dyDescent="0.25">
      <c r="C26" s="10"/>
      <c r="D26" s="42" t="s">
        <v>41</v>
      </c>
      <c r="E26" s="43" t="s">
        <v>42</v>
      </c>
      <c r="F26" s="30" t="str">
        <f>IF(izm_type&lt;&gt;"руб.,Гкал","тыс.","") &amp; "руб."</f>
        <v>руб.</v>
      </c>
      <c r="G26" s="27">
        <f>[1]Топливо!G11</f>
        <v>0</v>
      </c>
      <c r="H26" s="28">
        <f>[1]Топливо!H11</f>
        <v>0</v>
      </c>
      <c r="I26" s="27">
        <f>[1]Топливо!I11</f>
        <v>0</v>
      </c>
      <c r="J26" s="27">
        <f>[1]Топливо!J11</f>
        <v>0</v>
      </c>
      <c r="K26" s="27">
        <f>[1]Топливо!I11</f>
        <v>0</v>
      </c>
      <c r="L26" s="27">
        <f>[1]Топливо!J11</f>
        <v>0</v>
      </c>
      <c r="M26" s="27"/>
    </row>
    <row r="27" spans="3:13" ht="15" x14ac:dyDescent="0.25">
      <c r="C27" s="10"/>
      <c r="D27" s="24" t="s">
        <v>43</v>
      </c>
      <c r="E27" s="43" t="s">
        <v>44</v>
      </c>
      <c r="F27" s="30" t="str">
        <f>IF(izm_type&lt;&gt;"руб.,Гкал","тыс.","") &amp; "руб."</f>
        <v>руб.</v>
      </c>
      <c r="G27" s="44">
        <f t="shared" ref="G27:M27" si="5">G28+G31+G34+G37</f>
        <v>452247.04202999995</v>
      </c>
      <c r="H27" s="45">
        <f t="shared" si="5"/>
        <v>741336.322728</v>
      </c>
      <c r="I27" s="44">
        <f t="shared" si="5"/>
        <v>363536.83080850466</v>
      </c>
      <c r="J27" s="44">
        <f t="shared" si="5"/>
        <v>25055.910124568403</v>
      </c>
      <c r="K27" s="44">
        <f t="shared" si="5"/>
        <v>287664.65966519999</v>
      </c>
      <c r="L27" s="44">
        <f t="shared" si="5"/>
        <v>676257.40059827303</v>
      </c>
      <c r="M27" s="44">
        <f t="shared" si="5"/>
        <v>670189.94926948263</v>
      </c>
    </row>
    <row r="28" spans="3:13" ht="15" hidden="1" x14ac:dyDescent="0.25">
      <c r="C28" s="10"/>
      <c r="D28" s="94" t="s">
        <v>45</v>
      </c>
      <c r="E28" s="34" t="s">
        <v>46</v>
      </c>
      <c r="F28" s="30" t="str">
        <f>IF(izm_type&lt;&gt;"руб.,Гкал","тыс.","") &amp; "руб."</f>
        <v>руб.</v>
      </c>
      <c r="G28" s="46">
        <f t="shared" ref="G28:M28" si="6">G29*G30</f>
        <v>0</v>
      </c>
      <c r="H28" s="47">
        <f t="shared" si="6"/>
        <v>0</v>
      </c>
      <c r="I28" s="46">
        <f t="shared" si="6"/>
        <v>0</v>
      </c>
      <c r="J28" s="46">
        <f t="shared" si="6"/>
        <v>0</v>
      </c>
      <c r="K28" s="46">
        <f t="shared" si="6"/>
        <v>0</v>
      </c>
      <c r="L28" s="46">
        <f t="shared" si="6"/>
        <v>0</v>
      </c>
      <c r="M28" s="46">
        <f t="shared" si="6"/>
        <v>0</v>
      </c>
    </row>
    <row r="29" spans="3:13" ht="15" hidden="1" x14ac:dyDescent="0.25">
      <c r="C29" s="10"/>
      <c r="D29" s="97"/>
      <c r="E29" s="48" t="s">
        <v>47</v>
      </c>
      <c r="F29" s="30" t="str">
        <f>IF(izm_type&lt;&gt;"руб.,Гкал","тыс.","") &amp; "кВт*ч"</f>
        <v>кВт*ч</v>
      </c>
      <c r="G29" s="31"/>
      <c r="H29" s="32"/>
      <c r="I29" s="31"/>
      <c r="J29" s="31"/>
      <c r="K29" s="31"/>
      <c r="L29" s="31"/>
      <c r="M29" s="31"/>
    </row>
    <row r="30" spans="3:13" ht="15" hidden="1" x14ac:dyDescent="0.25">
      <c r="C30" s="10"/>
      <c r="D30" s="98"/>
      <c r="E30" s="49" t="s">
        <v>48</v>
      </c>
      <c r="F30" s="50" t="s">
        <v>49</v>
      </c>
      <c r="G30" s="31"/>
      <c r="H30" s="32"/>
      <c r="I30" s="31"/>
      <c r="J30" s="31"/>
      <c r="K30" s="31"/>
      <c r="L30" s="31"/>
      <c r="M30" s="31"/>
    </row>
    <row r="31" spans="3:13" ht="15" hidden="1" x14ac:dyDescent="0.25">
      <c r="C31" s="10"/>
      <c r="D31" s="94" t="s">
        <v>50</v>
      </c>
      <c r="E31" s="34" t="s">
        <v>51</v>
      </c>
      <c r="F31" s="30" t="str">
        <f>IF(izm_type&lt;&gt;"руб.,Гкал","тыс.","") &amp; "руб."</f>
        <v>руб.</v>
      </c>
      <c r="G31" s="46">
        <f t="shared" ref="G31:M31" si="7">G32*G33</f>
        <v>0</v>
      </c>
      <c r="H31" s="47">
        <f t="shared" si="7"/>
        <v>0</v>
      </c>
      <c r="I31" s="46">
        <f t="shared" si="7"/>
        <v>0</v>
      </c>
      <c r="J31" s="46">
        <f t="shared" si="7"/>
        <v>0</v>
      </c>
      <c r="K31" s="46">
        <f t="shared" si="7"/>
        <v>0</v>
      </c>
      <c r="L31" s="46">
        <f t="shared" si="7"/>
        <v>0</v>
      </c>
      <c r="M31" s="46">
        <f t="shared" si="7"/>
        <v>0</v>
      </c>
    </row>
    <row r="32" spans="3:13" ht="15" hidden="1" x14ac:dyDescent="0.25">
      <c r="C32" s="10"/>
      <c r="D32" s="97"/>
      <c r="E32" s="48" t="s">
        <v>47</v>
      </c>
      <c r="F32" s="30" t="str">
        <f>IF(izm_type&lt;&gt;"руб.,Гкал","тыс.","") &amp; "кВт*ч"</f>
        <v>кВт*ч</v>
      </c>
      <c r="G32" s="31"/>
      <c r="H32" s="32"/>
      <c r="I32" s="31"/>
      <c r="J32" s="31"/>
      <c r="K32" s="31"/>
      <c r="L32" s="31"/>
      <c r="M32" s="31"/>
    </row>
    <row r="33" spans="3:13" ht="15" hidden="1" x14ac:dyDescent="0.25">
      <c r="C33" s="10"/>
      <c r="D33" s="98"/>
      <c r="E33" s="49" t="s">
        <v>48</v>
      </c>
      <c r="F33" s="50" t="s">
        <v>49</v>
      </c>
      <c r="G33" s="31"/>
      <c r="H33" s="32"/>
      <c r="I33" s="31"/>
      <c r="J33" s="31"/>
      <c r="K33" s="31"/>
      <c r="L33" s="31"/>
      <c r="M33" s="31"/>
    </row>
    <row r="34" spans="3:13" ht="15" x14ac:dyDescent="0.25">
      <c r="C34" s="10"/>
      <c r="D34" s="94" t="s">
        <v>52</v>
      </c>
      <c r="E34" s="34" t="s">
        <v>53</v>
      </c>
      <c r="F34" s="30" t="str">
        <f>IF(izm_type&lt;&gt;"руб.,Гкал","тыс.","") &amp; "руб."</f>
        <v>руб.</v>
      </c>
      <c r="G34" s="46">
        <f>G35*G36</f>
        <v>452247.04202999995</v>
      </c>
      <c r="H34" s="47">
        <f>H35*H36</f>
        <v>741336.322728</v>
      </c>
      <c r="I34" s="46">
        <f>I35*I36</f>
        <v>363536.83080850466</v>
      </c>
      <c r="J34" s="46">
        <f>J35*J36</f>
        <v>25055.910124568403</v>
      </c>
      <c r="K34" s="46">
        <f>K35*K36</f>
        <v>287664.65966519999</v>
      </c>
      <c r="L34" s="46">
        <f>I34+J34+K34</f>
        <v>676257.40059827303</v>
      </c>
      <c r="M34" s="46">
        <f>M35*M36</f>
        <v>670189.94926948263</v>
      </c>
    </row>
    <row r="35" spans="3:13" ht="15" x14ac:dyDescent="0.25">
      <c r="C35" s="10"/>
      <c r="D35" s="97"/>
      <c r="E35" s="48" t="s">
        <v>47</v>
      </c>
      <c r="F35" s="30" t="str">
        <f>IF(izm_type&lt;&gt;"руб.,Гкал","тыс.","") &amp; "кВт*ч"</f>
        <v>кВт*ч</v>
      </c>
      <c r="G35" s="31">
        <v>136360</v>
      </c>
      <c r="H35" s="51">
        <v>227501.48</v>
      </c>
      <c r="I35" s="31">
        <f>[2]Эл.эн.!I28</f>
        <v>124386.24000000001</v>
      </c>
      <c r="J35" s="31">
        <f>[2]Эл.эн.!I29</f>
        <v>7781.08</v>
      </c>
      <c r="K35" s="31">
        <f>[2]Эл.эн.!I30</f>
        <v>88581.16</v>
      </c>
      <c r="L35" s="31">
        <f>I35+J35+K35</f>
        <v>220748.48</v>
      </c>
      <c r="M35" s="31">
        <f>[2]Эл.эн.!I50</f>
        <v>219700.48000000001</v>
      </c>
    </row>
    <row r="36" spans="3:13" ht="15" x14ac:dyDescent="0.25">
      <c r="C36" s="10"/>
      <c r="D36" s="98"/>
      <c r="E36" s="49" t="s">
        <v>48</v>
      </c>
      <c r="F36" s="50" t="s">
        <v>49</v>
      </c>
      <c r="G36" s="31">
        <v>3.3165667499999998</v>
      </c>
      <c r="H36" s="32">
        <v>3.2585999999999999</v>
      </c>
      <c r="I36" s="31">
        <f>[2]Эл.эн.!D28</f>
        <v>2.9226450675613687</v>
      </c>
      <c r="J36" s="31">
        <f>[2]Эл.эн.!D29</f>
        <v>3.2201069934467199</v>
      </c>
      <c r="K36" s="31">
        <f>[2]Эл.эн.!D23</f>
        <v>3.2474699999999999</v>
      </c>
      <c r="L36" s="31">
        <f>L34/L35</f>
        <v>3.0634747772590463</v>
      </c>
      <c r="M36" s="31">
        <f>[2]Эл.эн.!M54</f>
        <v>3.0504710288729573</v>
      </c>
    </row>
    <row r="37" spans="3:13" ht="15" hidden="1" x14ac:dyDescent="0.25">
      <c r="C37" s="10"/>
      <c r="D37" s="94" t="s">
        <v>54</v>
      </c>
      <c r="E37" s="34" t="s">
        <v>55</v>
      </c>
      <c r="F37" s="30" t="str">
        <f>IF(izm_type&lt;&gt;"руб.,Гкал","тыс.","") &amp; "руб."</f>
        <v>руб.</v>
      </c>
      <c r="G37" s="46">
        <f t="shared" ref="G37:L37" si="8">G38*G39</f>
        <v>0</v>
      </c>
      <c r="H37" s="47">
        <f t="shared" si="8"/>
        <v>0</v>
      </c>
      <c r="I37" s="46">
        <f t="shared" si="8"/>
        <v>0</v>
      </c>
      <c r="J37" s="46">
        <f t="shared" si="8"/>
        <v>0</v>
      </c>
      <c r="K37" s="46">
        <f t="shared" si="8"/>
        <v>0</v>
      </c>
      <c r="L37" s="46">
        <f t="shared" si="8"/>
        <v>0</v>
      </c>
      <c r="M37" s="46"/>
    </row>
    <row r="38" spans="3:13" ht="15" hidden="1" x14ac:dyDescent="0.25">
      <c r="C38" s="10"/>
      <c r="D38" s="97"/>
      <c r="E38" s="48" t="s">
        <v>47</v>
      </c>
      <c r="F38" s="30" t="str">
        <f>IF(izm_type&lt;&gt;"руб.,Гкал","тыс.","") &amp; "кВт*ч"</f>
        <v>кВт*ч</v>
      </c>
      <c r="G38" s="31"/>
      <c r="H38" s="32"/>
      <c r="I38" s="31"/>
      <c r="J38" s="31"/>
      <c r="K38" s="31"/>
      <c r="L38" s="31"/>
      <c r="M38" s="31"/>
    </row>
    <row r="39" spans="3:13" ht="15" hidden="1" x14ac:dyDescent="0.25">
      <c r="C39" s="10"/>
      <c r="D39" s="98"/>
      <c r="E39" s="49" t="s">
        <v>48</v>
      </c>
      <c r="F39" s="50" t="s">
        <v>49</v>
      </c>
      <c r="G39" s="31"/>
      <c r="H39" s="32"/>
      <c r="I39" s="31"/>
      <c r="J39" s="31"/>
      <c r="K39" s="31"/>
      <c r="L39" s="31"/>
      <c r="M39" s="31"/>
    </row>
    <row r="40" spans="3:13" ht="15" x14ac:dyDescent="0.25">
      <c r="C40" s="10"/>
      <c r="D40" s="24" t="s">
        <v>56</v>
      </c>
      <c r="E40" s="52" t="s">
        <v>57</v>
      </c>
      <c r="F40" s="30" t="str">
        <f>IF(izm_type&lt;&gt;"руб.,Гкал","тыс.","") &amp; "руб."</f>
        <v>руб.</v>
      </c>
      <c r="G40" s="46"/>
      <c r="H40" s="47"/>
      <c r="I40" s="46"/>
      <c r="J40" s="46"/>
      <c r="K40" s="46"/>
      <c r="L40" s="46"/>
      <c r="M40" s="46"/>
    </row>
    <row r="41" spans="3:13" ht="15" hidden="1" x14ac:dyDescent="0.25">
      <c r="C41" s="10"/>
      <c r="D41" s="94" t="s">
        <v>58</v>
      </c>
      <c r="E41" s="53" t="s">
        <v>46</v>
      </c>
      <c r="F41" s="30" t="str">
        <f>IF(izm_type&lt;&gt;"руб.,Гкал","тыс.","") &amp; "руб."</f>
        <v>руб.</v>
      </c>
      <c r="G41" s="46">
        <f t="shared" ref="G41:L41" si="9">G42*G43*12/IF(izm_type&lt;&gt;"руб.,Гкал",1000,1)</f>
        <v>0</v>
      </c>
      <c r="H41" s="47">
        <f t="shared" si="9"/>
        <v>0</v>
      </c>
      <c r="I41" s="46">
        <f t="shared" si="9"/>
        <v>0</v>
      </c>
      <c r="J41" s="46">
        <f t="shared" si="9"/>
        <v>0</v>
      </c>
      <c r="K41" s="46">
        <f t="shared" si="9"/>
        <v>0</v>
      </c>
      <c r="L41" s="46">
        <f t="shared" si="9"/>
        <v>0</v>
      </c>
      <c r="M41" s="46"/>
    </row>
    <row r="42" spans="3:13" ht="15" hidden="1" x14ac:dyDescent="0.25">
      <c r="C42" s="10"/>
      <c r="D42" s="97"/>
      <c r="E42" s="48" t="s">
        <v>59</v>
      </c>
      <c r="F42" s="50" t="s">
        <v>60</v>
      </c>
      <c r="G42" s="31"/>
      <c r="H42" s="32"/>
      <c r="I42" s="31"/>
      <c r="J42" s="31"/>
      <c r="K42" s="31"/>
      <c r="L42" s="31"/>
      <c r="M42" s="31"/>
    </row>
    <row r="43" spans="3:13" ht="15" hidden="1" x14ac:dyDescent="0.25">
      <c r="C43" s="10"/>
      <c r="D43" s="98"/>
      <c r="E43" s="49" t="s">
        <v>48</v>
      </c>
      <c r="F43" s="50" t="s">
        <v>61</v>
      </c>
      <c r="G43" s="31"/>
      <c r="H43" s="32"/>
      <c r="I43" s="31"/>
      <c r="J43" s="31"/>
      <c r="K43" s="31"/>
      <c r="L43" s="31"/>
      <c r="M43" s="31"/>
    </row>
    <row r="44" spans="3:13" ht="15" hidden="1" x14ac:dyDescent="0.25">
      <c r="C44" s="10"/>
      <c r="D44" s="94" t="s">
        <v>62</v>
      </c>
      <c r="E44" s="53" t="s">
        <v>51</v>
      </c>
      <c r="F44" s="30" t="str">
        <f>IF(izm_type&lt;&gt;"руб.,Гкал","тыс.","") &amp; "руб."</f>
        <v>руб.</v>
      </c>
      <c r="G44" s="46">
        <f t="shared" ref="G44:L44" si="10">G45*G46*12/IF(izm_type&lt;&gt;"руб.,Гкал",1000,1)</f>
        <v>0</v>
      </c>
      <c r="H44" s="47">
        <f t="shared" si="10"/>
        <v>0</v>
      </c>
      <c r="I44" s="46">
        <f t="shared" si="10"/>
        <v>0</v>
      </c>
      <c r="J44" s="46">
        <f t="shared" si="10"/>
        <v>0</v>
      </c>
      <c r="K44" s="46">
        <f t="shared" si="10"/>
        <v>0</v>
      </c>
      <c r="L44" s="46">
        <f t="shared" si="10"/>
        <v>0</v>
      </c>
      <c r="M44" s="46"/>
    </row>
    <row r="45" spans="3:13" ht="15" hidden="1" x14ac:dyDescent="0.25">
      <c r="C45" s="10"/>
      <c r="D45" s="97"/>
      <c r="E45" s="48" t="s">
        <v>59</v>
      </c>
      <c r="F45" s="50" t="s">
        <v>60</v>
      </c>
      <c r="G45" s="31"/>
      <c r="H45" s="32"/>
      <c r="I45" s="31"/>
      <c r="J45" s="31"/>
      <c r="K45" s="31"/>
      <c r="L45" s="31"/>
      <c r="M45" s="31"/>
    </row>
    <row r="46" spans="3:13" ht="15" hidden="1" x14ac:dyDescent="0.25">
      <c r="C46" s="10"/>
      <c r="D46" s="98"/>
      <c r="E46" s="49" t="s">
        <v>48</v>
      </c>
      <c r="F46" s="50" t="s">
        <v>61</v>
      </c>
      <c r="G46" s="31"/>
      <c r="H46" s="32"/>
      <c r="I46" s="31"/>
      <c r="J46" s="31"/>
      <c r="K46" s="31"/>
      <c r="L46" s="31"/>
      <c r="M46" s="31"/>
    </row>
    <row r="47" spans="3:13" ht="15" hidden="1" x14ac:dyDescent="0.25">
      <c r="C47" s="10"/>
      <c r="D47" s="94" t="s">
        <v>63</v>
      </c>
      <c r="E47" s="53" t="s">
        <v>53</v>
      </c>
      <c r="F47" s="30" t="str">
        <f>IF(izm_type&lt;&gt;"руб.,Гкал","тыс.","") &amp; "руб."</f>
        <v>руб.</v>
      </c>
      <c r="G47" s="46">
        <f t="shared" ref="G47:L47" si="11">G48*G49*12/IF(izm_type&lt;&gt;"руб.,Гкал",1000,1)</f>
        <v>0</v>
      </c>
      <c r="H47" s="47">
        <f t="shared" si="11"/>
        <v>0</v>
      </c>
      <c r="I47" s="46">
        <f t="shared" si="11"/>
        <v>0</v>
      </c>
      <c r="J47" s="46">
        <f t="shared" si="11"/>
        <v>0</v>
      </c>
      <c r="K47" s="46">
        <f t="shared" si="11"/>
        <v>0</v>
      </c>
      <c r="L47" s="46">
        <f t="shared" si="11"/>
        <v>0</v>
      </c>
      <c r="M47" s="46"/>
    </row>
    <row r="48" spans="3:13" ht="15" hidden="1" x14ac:dyDescent="0.25">
      <c r="C48" s="10"/>
      <c r="D48" s="97"/>
      <c r="E48" s="48" t="s">
        <v>59</v>
      </c>
      <c r="F48" s="50" t="s">
        <v>60</v>
      </c>
      <c r="G48" s="31"/>
      <c r="H48" s="32"/>
      <c r="I48" s="31"/>
      <c r="J48" s="31"/>
      <c r="K48" s="31"/>
      <c r="L48" s="31"/>
      <c r="M48" s="31"/>
    </row>
    <row r="49" spans="1:13" ht="15" hidden="1" x14ac:dyDescent="0.25">
      <c r="C49" s="10"/>
      <c r="D49" s="98"/>
      <c r="E49" s="49" t="s">
        <v>48</v>
      </c>
      <c r="F49" s="50" t="s">
        <v>61</v>
      </c>
      <c r="G49" s="31"/>
      <c r="H49" s="32"/>
      <c r="I49" s="31"/>
      <c r="J49" s="31"/>
      <c r="K49" s="31"/>
      <c r="L49" s="31"/>
      <c r="M49" s="31"/>
    </row>
    <row r="50" spans="1:13" ht="15" hidden="1" x14ac:dyDescent="0.25">
      <c r="C50" s="10"/>
      <c r="D50" s="94" t="s">
        <v>64</v>
      </c>
      <c r="E50" s="53" t="s">
        <v>55</v>
      </c>
      <c r="F50" s="30" t="str">
        <f>IF(izm_type&lt;&gt;"руб.,Гкал","тыс.","") &amp; "руб."</f>
        <v>руб.</v>
      </c>
      <c r="G50" s="46">
        <f t="shared" ref="G50:L50" si="12">G51*G52*12/IF(izm_type&lt;&gt;"руб.,Гкал",1000,1)</f>
        <v>0</v>
      </c>
      <c r="H50" s="47">
        <f t="shared" si="12"/>
        <v>0</v>
      </c>
      <c r="I50" s="46">
        <f t="shared" si="12"/>
        <v>0</v>
      </c>
      <c r="J50" s="46">
        <f t="shared" si="12"/>
        <v>0</v>
      </c>
      <c r="K50" s="46">
        <f t="shared" si="12"/>
        <v>0</v>
      </c>
      <c r="L50" s="46">
        <f t="shared" si="12"/>
        <v>0</v>
      </c>
      <c r="M50" s="46"/>
    </row>
    <row r="51" spans="1:13" ht="15" hidden="1" x14ac:dyDescent="0.25">
      <c r="C51" s="10"/>
      <c r="D51" s="97"/>
      <c r="E51" s="48" t="s">
        <v>59</v>
      </c>
      <c r="F51" s="50" t="s">
        <v>60</v>
      </c>
      <c r="G51" s="31"/>
      <c r="H51" s="32"/>
      <c r="I51" s="31"/>
      <c r="J51" s="31"/>
      <c r="K51" s="31"/>
      <c r="L51" s="31"/>
      <c r="M51" s="31"/>
    </row>
    <row r="52" spans="1:13" ht="15" hidden="1" x14ac:dyDescent="0.25">
      <c r="C52" s="10"/>
      <c r="D52" s="98"/>
      <c r="E52" s="49" t="s">
        <v>48</v>
      </c>
      <c r="F52" s="50" t="s">
        <v>61</v>
      </c>
      <c r="G52" s="31"/>
      <c r="H52" s="32"/>
      <c r="I52" s="31"/>
      <c r="J52" s="31"/>
      <c r="K52" s="31"/>
      <c r="L52" s="31"/>
      <c r="M52" s="31"/>
    </row>
    <row r="53" spans="1:13" ht="15" hidden="1" x14ac:dyDescent="0.25">
      <c r="C53" s="10"/>
      <c r="D53" s="24" t="s">
        <v>65</v>
      </c>
      <c r="E53" s="25" t="s">
        <v>66</v>
      </c>
      <c r="F53" s="30" t="str">
        <f>IF(izm_type&lt;&gt;"руб.,Гкал","тыс.","") &amp; "руб."</f>
        <v>руб.</v>
      </c>
      <c r="G53" s="46">
        <f t="shared" ref="G53:L53" si="13">G54+G57</f>
        <v>0</v>
      </c>
      <c r="H53" s="47">
        <f t="shared" si="13"/>
        <v>0</v>
      </c>
      <c r="I53" s="46">
        <f t="shared" si="13"/>
        <v>0</v>
      </c>
      <c r="J53" s="46">
        <f t="shared" si="13"/>
        <v>0</v>
      </c>
      <c r="K53" s="46">
        <f t="shared" si="13"/>
        <v>0</v>
      </c>
      <c r="L53" s="46">
        <f t="shared" si="13"/>
        <v>0</v>
      </c>
      <c r="M53" s="46"/>
    </row>
    <row r="54" spans="1:13" ht="15" hidden="1" x14ac:dyDescent="0.25">
      <c r="C54" s="10"/>
      <c r="D54" s="94" t="s">
        <v>67</v>
      </c>
      <c r="E54" s="34" t="s">
        <v>68</v>
      </c>
      <c r="F54" s="30" t="str">
        <f>IF(izm_type&lt;&gt;"руб.,Гкал","тыс.","") &amp; "руб."</f>
        <v>руб.</v>
      </c>
      <c r="G54" s="27">
        <f t="shared" ref="G54:L54" si="14">G55*G56</f>
        <v>0</v>
      </c>
      <c r="H54" s="28">
        <f t="shared" si="14"/>
        <v>0</v>
      </c>
      <c r="I54" s="27">
        <f t="shared" si="14"/>
        <v>0</v>
      </c>
      <c r="J54" s="27">
        <f t="shared" si="14"/>
        <v>0</v>
      </c>
      <c r="K54" s="27">
        <f t="shared" si="14"/>
        <v>0</v>
      </c>
      <c r="L54" s="27">
        <f t="shared" si="14"/>
        <v>0</v>
      </c>
      <c r="M54" s="27"/>
    </row>
    <row r="55" spans="1:13" ht="15" hidden="1" x14ac:dyDescent="0.25">
      <c r="C55" s="10"/>
      <c r="D55" s="95"/>
      <c r="E55" s="36" t="s">
        <v>47</v>
      </c>
      <c r="F55" s="30" t="str">
        <f>IF(izm_type&lt;&gt;"руб.,Гкал","тыс.","") &amp; "куб.м."</f>
        <v>куб.м.</v>
      </c>
      <c r="G55" s="31"/>
      <c r="H55" s="32"/>
      <c r="I55" s="31"/>
      <c r="J55" s="31"/>
      <c r="K55" s="31"/>
      <c r="L55" s="31"/>
      <c r="M55" s="31"/>
    </row>
    <row r="56" spans="1:13" ht="15" hidden="1" x14ac:dyDescent="0.25">
      <c r="C56" s="10"/>
      <c r="D56" s="96"/>
      <c r="E56" s="36" t="s">
        <v>48</v>
      </c>
      <c r="F56" s="26" t="s">
        <v>69</v>
      </c>
      <c r="G56" s="31"/>
      <c r="H56" s="32"/>
      <c r="I56" s="31"/>
      <c r="J56" s="31"/>
      <c r="K56" s="31"/>
      <c r="L56" s="31"/>
      <c r="M56" s="31"/>
    </row>
    <row r="57" spans="1:13" ht="15" hidden="1" x14ac:dyDescent="0.25">
      <c r="C57" s="10"/>
      <c r="D57" s="94" t="s">
        <v>70</v>
      </c>
      <c r="E57" s="34" t="s">
        <v>71</v>
      </c>
      <c r="F57" s="30" t="str">
        <f>IF(izm_type&lt;&gt;"руб.,Гкал","тыс.","") &amp; "руб."</f>
        <v>руб.</v>
      </c>
      <c r="G57" s="27">
        <f t="shared" ref="G57:L57" si="15">G58*G59</f>
        <v>0</v>
      </c>
      <c r="H57" s="28">
        <f t="shared" si="15"/>
        <v>0</v>
      </c>
      <c r="I57" s="27">
        <f t="shared" si="15"/>
        <v>0</v>
      </c>
      <c r="J57" s="27">
        <f t="shared" si="15"/>
        <v>0</v>
      </c>
      <c r="K57" s="27">
        <f t="shared" si="15"/>
        <v>0</v>
      </c>
      <c r="L57" s="27">
        <f t="shared" si="15"/>
        <v>0</v>
      </c>
      <c r="M57" s="27"/>
    </row>
    <row r="58" spans="1:13" ht="15" hidden="1" x14ac:dyDescent="0.25">
      <c r="C58" s="10"/>
      <c r="D58" s="95"/>
      <c r="E58" s="36" t="s">
        <v>47</v>
      </c>
      <c r="F58" s="26" t="s">
        <v>72</v>
      </c>
      <c r="G58" s="31"/>
      <c r="H58" s="32"/>
      <c r="I58" s="31"/>
      <c r="J58" s="31"/>
      <c r="K58" s="31"/>
      <c r="L58" s="31"/>
      <c r="M58" s="31"/>
    </row>
    <row r="59" spans="1:13" ht="15" hidden="1" x14ac:dyDescent="0.25">
      <c r="C59" s="10"/>
      <c r="D59" s="96"/>
      <c r="E59" s="36" t="s">
        <v>48</v>
      </c>
      <c r="F59" s="26" t="s">
        <v>69</v>
      </c>
      <c r="G59" s="31"/>
      <c r="H59" s="32"/>
      <c r="I59" s="31"/>
      <c r="J59" s="31"/>
      <c r="K59" s="31"/>
      <c r="L59" s="31"/>
      <c r="M59" s="31"/>
    </row>
    <row r="60" spans="1:13" ht="15" x14ac:dyDescent="0.25">
      <c r="C60" s="10"/>
      <c r="D60" s="94" t="s">
        <v>73</v>
      </c>
      <c r="E60" s="43" t="s">
        <v>74</v>
      </c>
      <c r="F60" s="30" t="str">
        <f>IF(izm_type&lt;&gt;"руб.,Гкал","тыс.","") &amp; "руб."</f>
        <v>руб.</v>
      </c>
      <c r="G60" s="20">
        <f>G61*G62</f>
        <v>14871421.6</v>
      </c>
      <c r="H60" s="21">
        <f>H61*H62</f>
        <v>14287176.273999996</v>
      </c>
      <c r="I60" s="20">
        <f>I61*I62</f>
        <v>9042224.4377799984</v>
      </c>
      <c r="J60" s="20">
        <f>J61*J62</f>
        <v>178323.75208000001</v>
      </c>
      <c r="K60" s="20">
        <f>K61*K62</f>
        <v>5369823.1758500012</v>
      </c>
      <c r="L60" s="20">
        <f>K60+J60+I60</f>
        <v>14590371.36571</v>
      </c>
      <c r="M60" s="20">
        <f>M61*M62</f>
        <v>14334117.607729996</v>
      </c>
    </row>
    <row r="61" spans="1:13" ht="15" x14ac:dyDescent="0.25">
      <c r="C61" s="10"/>
      <c r="D61" s="95"/>
      <c r="E61" s="34" t="s">
        <v>47</v>
      </c>
      <c r="F61" s="30" t="str">
        <f>IF(izm_type&lt;&gt;"руб.,Гкал","тыс.","") &amp; "Гкал"</f>
        <v>Гкал</v>
      </c>
      <c r="G61" s="31">
        <f>G14</f>
        <v>13636</v>
      </c>
      <c r="H61" s="32">
        <f>[2]Покупка!T40</f>
        <v>13100.290000000003</v>
      </c>
      <c r="I61" s="31">
        <f>[2]Покупка!H40</f>
        <v>8470.2739999999976</v>
      </c>
      <c r="J61" s="31">
        <f>[2]Покупка!H41</f>
        <v>161.071</v>
      </c>
      <c r="K61" s="31">
        <f>[2]Покупка!H42</f>
        <v>4729.4920000000002</v>
      </c>
      <c r="L61" s="31">
        <f>I61+J61+K61</f>
        <v>13360.836999999998</v>
      </c>
      <c r="M61" s="31">
        <f>[2]Покупка!H76</f>
        <v>13135.124999999998</v>
      </c>
    </row>
    <row r="62" spans="1:13" ht="15" x14ac:dyDescent="0.25">
      <c r="C62" s="10"/>
      <c r="D62" s="96"/>
      <c r="E62" s="34" t="s">
        <v>48</v>
      </c>
      <c r="F62" s="26" t="s">
        <v>75</v>
      </c>
      <c r="G62" s="31">
        <f>(439.31+651.29)</f>
        <v>1090.5999999999999</v>
      </c>
      <c r="H62" s="32">
        <f>[2]Покупка!U40</f>
        <v>1090.5999999999995</v>
      </c>
      <c r="I62" s="31">
        <f>[2]Покупка!I40</f>
        <v>1067.5244316512076</v>
      </c>
      <c r="J62" s="31">
        <f>[2]Покупка!I41</f>
        <v>1107.1127147655382</v>
      </c>
      <c r="K62" s="31">
        <f>[2]Покупка!I42</f>
        <v>1135.3911108952084</v>
      </c>
      <c r="L62" s="31">
        <f>L60/L61</f>
        <v>1092.0252500430925</v>
      </c>
      <c r="M62" s="31">
        <f>[2]Покупка!I76</f>
        <v>1091.281400651307</v>
      </c>
    </row>
    <row r="63" spans="1:13" s="56" customFormat="1" ht="15" hidden="1" x14ac:dyDescent="0.25">
      <c r="A63" s="54"/>
      <c r="B63" s="54"/>
      <c r="C63" s="55"/>
      <c r="D63" s="94" t="s">
        <v>76</v>
      </c>
      <c r="E63" s="52" t="s">
        <v>77</v>
      </c>
      <c r="F63" s="30" t="str">
        <f>IF(izm_type&lt;&gt;"руб.,Гкал","тыс.","") &amp; "руб."</f>
        <v>руб.</v>
      </c>
      <c r="G63" s="27">
        <f t="shared" ref="G63:L63" si="16">G64*G65</f>
        <v>0</v>
      </c>
      <c r="H63" s="28">
        <f t="shared" si="16"/>
        <v>0</v>
      </c>
      <c r="I63" s="27">
        <f t="shared" si="16"/>
        <v>0</v>
      </c>
      <c r="J63" s="27">
        <f t="shared" si="16"/>
        <v>0</v>
      </c>
      <c r="K63" s="27">
        <f t="shared" si="16"/>
        <v>0</v>
      </c>
      <c r="L63" s="27">
        <f t="shared" si="16"/>
        <v>0</v>
      </c>
      <c r="M63" s="27"/>
    </row>
    <row r="64" spans="1:13" s="56" customFormat="1" ht="15" hidden="1" x14ac:dyDescent="0.25">
      <c r="A64" s="54"/>
      <c r="B64" s="54"/>
      <c r="C64" s="55"/>
      <c r="D64" s="95"/>
      <c r="E64" s="34" t="s">
        <v>47</v>
      </c>
      <c r="F64" s="30" t="str">
        <f>IF(izm_type&lt;&gt;"руб.,Гкал","тыс.","") &amp; "Гкал"</f>
        <v>Гкал</v>
      </c>
      <c r="G64" s="57"/>
      <c r="H64" s="58"/>
      <c r="I64" s="57"/>
      <c r="J64" s="57"/>
      <c r="K64" s="57"/>
      <c r="L64" s="57"/>
      <c r="M64" s="57"/>
    </row>
    <row r="65" spans="1:13" s="56" customFormat="1" ht="15" hidden="1" x14ac:dyDescent="0.25">
      <c r="A65" s="54"/>
      <c r="B65" s="54"/>
      <c r="C65" s="55"/>
      <c r="D65" s="96"/>
      <c r="E65" s="34" t="s">
        <v>48</v>
      </c>
      <c r="F65" s="26" t="s">
        <v>75</v>
      </c>
      <c r="G65" s="57"/>
      <c r="H65" s="58"/>
      <c r="I65" s="57"/>
      <c r="J65" s="57"/>
      <c r="K65" s="57"/>
      <c r="L65" s="57"/>
      <c r="M65" s="57"/>
    </row>
    <row r="66" spans="1:13" s="56" customFormat="1" ht="15" x14ac:dyDescent="0.25">
      <c r="A66" s="54"/>
      <c r="B66" s="54"/>
      <c r="C66" s="55"/>
      <c r="D66" s="94" t="s">
        <v>78</v>
      </c>
      <c r="E66" s="52" t="s">
        <v>79</v>
      </c>
      <c r="F66" s="30" t="str">
        <f>IF(izm_type&lt;&gt;"руб.,Гкал","тыс.","") &amp; "руб."</f>
        <v>руб.</v>
      </c>
      <c r="G66" s="20">
        <f>G67*G68</f>
        <v>16199.4</v>
      </c>
      <c r="H66" s="21">
        <f>H67*H68</f>
        <v>39896.446049999984</v>
      </c>
      <c r="I66" s="20">
        <f>I67*I68</f>
        <v>20647.437299999998</v>
      </c>
      <c r="J66" s="20">
        <f>J67*J68</f>
        <v>1927.12176</v>
      </c>
      <c r="K66" s="20">
        <f>K67*K68</f>
        <v>5947.2227700000003</v>
      </c>
      <c r="L66" s="20">
        <f>K66+J66+I66</f>
        <v>28521.78183</v>
      </c>
      <c r="M66" s="20">
        <f>M67*M68</f>
        <v>31376.00141999999</v>
      </c>
    </row>
    <row r="67" spans="1:13" s="56" customFormat="1" ht="15" x14ac:dyDescent="0.25">
      <c r="A67" s="54"/>
      <c r="B67" s="54"/>
      <c r="C67" s="55"/>
      <c r="D67" s="95"/>
      <c r="E67" s="34" t="s">
        <v>47</v>
      </c>
      <c r="F67" s="30" t="str">
        <f>IF(izm_type&lt;&gt;"руб.,Гкал","тыс.","") &amp; "куб.м."</f>
        <v>куб.м.</v>
      </c>
      <c r="G67" s="57">
        <v>580</v>
      </c>
      <c r="H67" s="58">
        <f>[2]Покупка!Y40</f>
        <v>1240.9469999999997</v>
      </c>
      <c r="I67" s="57">
        <f>[2]Покупка!M40</f>
        <v>642.22199999999998</v>
      </c>
      <c r="J67" s="57">
        <f>[2]Покупка!M41</f>
        <v>56.547000000000004</v>
      </c>
      <c r="K67" s="57">
        <f>[2]Покупка!M42</f>
        <v>166.44900000000001</v>
      </c>
      <c r="L67" s="57">
        <f>K67+J67+I67</f>
        <v>865.21799999999996</v>
      </c>
      <c r="M67" s="57">
        <f>[2]Покупка!M76</f>
        <v>945.10100000000011</v>
      </c>
    </row>
    <row r="68" spans="1:13" s="56" customFormat="1" ht="15" x14ac:dyDescent="0.25">
      <c r="A68" s="54"/>
      <c r="B68" s="54"/>
      <c r="C68" s="55"/>
      <c r="D68" s="96"/>
      <c r="E68" s="34" t="s">
        <v>48</v>
      </c>
      <c r="F68" s="26" t="s">
        <v>69</v>
      </c>
      <c r="G68" s="57">
        <v>27.93</v>
      </c>
      <c r="H68" s="58">
        <f>[2]Покупка!Z40</f>
        <v>32.15</v>
      </c>
      <c r="I68" s="57">
        <f>[2]Покупка!N40</f>
        <v>32.15</v>
      </c>
      <c r="J68" s="57">
        <f>[2]Покупка!N41</f>
        <v>34.08</v>
      </c>
      <c r="K68" s="57">
        <f>[2]Покупка!N42</f>
        <v>35.729999999999997</v>
      </c>
      <c r="L68" s="57">
        <f>L66/L67</f>
        <v>32.964850280507342</v>
      </c>
      <c r="M68" s="57">
        <f>[2]Покупка!N76</f>
        <v>33.198569697841805</v>
      </c>
    </row>
    <row r="69" spans="1:13" ht="15" x14ac:dyDescent="0.25">
      <c r="C69" s="10"/>
      <c r="D69" s="24" t="s">
        <v>80</v>
      </c>
      <c r="E69" s="43" t="s">
        <v>81</v>
      </c>
      <c r="F69" s="30" t="str">
        <f>IF(izm_type&lt;&gt;"руб.,Гкал","тыс.","") &amp; "руб."</f>
        <v>руб.</v>
      </c>
      <c r="G69" s="59">
        <v>314355.33</v>
      </c>
      <c r="H69" s="60">
        <v>393443.35</v>
      </c>
      <c r="I69" s="59">
        <f>L69/12*6</f>
        <v>172696.56</v>
      </c>
      <c r="J69" s="59">
        <f>L69/12*2</f>
        <v>57565.52</v>
      </c>
      <c r="K69" s="59">
        <f>L69/12*4</f>
        <v>115131.04</v>
      </c>
      <c r="L69" s="59">
        <v>345393.12</v>
      </c>
      <c r="M69" s="59">
        <v>319703.09000000003</v>
      </c>
    </row>
    <row r="70" spans="1:13" ht="15" x14ac:dyDescent="0.25">
      <c r="C70" s="10"/>
      <c r="D70" s="24" t="s">
        <v>82</v>
      </c>
      <c r="E70" s="43" t="s">
        <v>83</v>
      </c>
      <c r="F70" s="30" t="str">
        <f>IF(izm_type&lt;&gt;"руб.,Гкал","тыс.","") &amp; "руб."</f>
        <v>руб.</v>
      </c>
      <c r="G70" s="59">
        <v>2065441.32</v>
      </c>
      <c r="H70" s="60">
        <v>2475902.4</v>
      </c>
      <c r="I70" s="59">
        <f>L70/12*6</f>
        <v>1177396.1499999999</v>
      </c>
      <c r="J70" s="59">
        <f>L70/12*2</f>
        <v>392465.3833333333</v>
      </c>
      <c r="K70" s="59">
        <f>L70/12*4</f>
        <v>784930.7666666666</v>
      </c>
      <c r="L70" s="59">
        <v>2354792.2999999998</v>
      </c>
      <c r="M70" s="59">
        <f>2850250.17-198000</f>
        <v>2652250.17</v>
      </c>
    </row>
    <row r="71" spans="1:13" ht="15" x14ac:dyDescent="0.25">
      <c r="C71" s="10"/>
      <c r="D71" s="24" t="s">
        <v>84</v>
      </c>
      <c r="E71" s="34" t="s">
        <v>85</v>
      </c>
      <c r="F71" s="30" t="str">
        <f>IF(izm_type&lt;&gt;"руб.,Гкал","тыс.","") &amp; "руб."</f>
        <v>руб.</v>
      </c>
      <c r="G71" s="27">
        <f>(G70/G72/12)</f>
        <v>36621.299999999996</v>
      </c>
      <c r="H71" s="28">
        <f>(H70/H72/12)</f>
        <v>43898.978723404252</v>
      </c>
      <c r="I71" s="27">
        <v>45982.43</v>
      </c>
      <c r="J71" s="27">
        <v>45982.43</v>
      </c>
      <c r="K71" s="27">
        <v>45982.43</v>
      </c>
      <c r="L71" s="27">
        <v>45982.43</v>
      </c>
      <c r="M71" s="29">
        <f>(M70/M72/12)</f>
        <v>38107.042672413794</v>
      </c>
    </row>
    <row r="72" spans="1:13" ht="15" x14ac:dyDescent="0.25">
      <c r="C72" s="10"/>
      <c r="D72" s="24" t="s">
        <v>86</v>
      </c>
      <c r="E72" s="34" t="s">
        <v>87</v>
      </c>
      <c r="F72" s="61" t="s">
        <v>88</v>
      </c>
      <c r="G72" s="31">
        <v>4.7</v>
      </c>
      <c r="H72" s="32">
        <v>4.7</v>
      </c>
      <c r="I72" s="31">
        <v>4.7</v>
      </c>
      <c r="J72" s="31">
        <v>4.7</v>
      </c>
      <c r="K72" s="31">
        <v>4.7</v>
      </c>
      <c r="L72" s="31">
        <v>4.7</v>
      </c>
      <c r="M72" s="31">
        <v>5.8</v>
      </c>
    </row>
    <row r="73" spans="1:13" ht="15" x14ac:dyDescent="0.25">
      <c r="C73" s="10"/>
      <c r="D73" s="24" t="s">
        <v>89</v>
      </c>
      <c r="E73" s="43" t="s">
        <v>90</v>
      </c>
      <c r="F73" s="30" t="str">
        <f>IF(izm_type&lt;&gt;"руб.,Гкал","тыс.","") &amp; "руб."</f>
        <v>руб.</v>
      </c>
      <c r="G73" s="59">
        <v>683041.44</v>
      </c>
      <c r="H73" s="62">
        <f>H70*0.297</f>
        <v>735343.01279999991</v>
      </c>
      <c r="I73" s="19">
        <f>I70*0.3</f>
        <v>353218.84499999997</v>
      </c>
      <c r="J73" s="19">
        <f>J70*0.3</f>
        <v>117739.61499999999</v>
      </c>
      <c r="K73" s="19">
        <f>K70*0.3</f>
        <v>235479.22999999998</v>
      </c>
      <c r="L73" s="19">
        <f>I73+J73+K73</f>
        <v>706437.69</v>
      </c>
      <c r="M73" s="19">
        <f>803770.55-59400</f>
        <v>744370.55</v>
      </c>
    </row>
    <row r="74" spans="1:13" ht="15" x14ac:dyDescent="0.25">
      <c r="C74" s="10"/>
      <c r="D74" s="24" t="s">
        <v>91</v>
      </c>
      <c r="E74" s="63" t="s">
        <v>92</v>
      </c>
      <c r="F74" s="30" t="str">
        <f>IF(izm_type&lt;&gt;"руб.,Гкал","тыс.","") &amp; "руб."</f>
        <v>руб.</v>
      </c>
      <c r="G74" s="59">
        <v>984662.95</v>
      </c>
      <c r="H74" s="62">
        <v>988246.87</v>
      </c>
      <c r="I74" s="19">
        <f>L74/12*4</f>
        <v>279651.01666666666</v>
      </c>
      <c r="J74" s="19">
        <f>L74/12*2</f>
        <v>139825.50833333333</v>
      </c>
      <c r="K74" s="59">
        <f>L74/12*4</f>
        <v>279651.01666666666</v>
      </c>
      <c r="L74" s="19">
        <v>838953.05</v>
      </c>
      <c r="M74" s="19">
        <v>751967.86</v>
      </c>
    </row>
    <row r="75" spans="1:13" ht="15" x14ac:dyDescent="0.25">
      <c r="C75" s="10"/>
      <c r="D75" s="24" t="s">
        <v>93</v>
      </c>
      <c r="E75" s="64" t="s">
        <v>94</v>
      </c>
      <c r="F75" s="30" t="str">
        <f>IF(izm_type&lt;&gt;"руб.,Гкал","тыс.","") &amp; "руб."</f>
        <v>руб.</v>
      </c>
      <c r="G75" s="20">
        <f t="shared" ref="G75:M75" si="17">SUM(G76:G79)</f>
        <v>72327.87</v>
      </c>
      <c r="H75" s="21">
        <f t="shared" si="17"/>
        <v>371244</v>
      </c>
      <c r="I75" s="20">
        <f t="shared" si="17"/>
        <v>217024.38500000001</v>
      </c>
      <c r="J75" s="20">
        <f t="shared" si="17"/>
        <v>72341.46166666667</v>
      </c>
      <c r="K75" s="20">
        <f t="shared" si="17"/>
        <v>144682.92333333334</v>
      </c>
      <c r="L75" s="20">
        <f t="shared" si="17"/>
        <v>434048.77</v>
      </c>
      <c r="M75" s="20">
        <f t="shared" si="17"/>
        <v>381085.1</v>
      </c>
    </row>
    <row r="76" spans="1:13" ht="15" x14ac:dyDescent="0.25">
      <c r="C76" s="10"/>
      <c r="D76" s="24" t="s">
        <v>95</v>
      </c>
      <c r="E76" s="34" t="s">
        <v>96</v>
      </c>
      <c r="F76" s="30" t="str">
        <f>IF(izm_type&lt;&gt;"руб.,Гкал","тыс.","") &amp; "руб."</f>
        <v>руб.</v>
      </c>
      <c r="G76" s="31"/>
      <c r="H76" s="32"/>
      <c r="I76" s="31"/>
      <c r="J76" s="31"/>
      <c r="K76" s="31"/>
      <c r="L76" s="31"/>
      <c r="M76" s="31"/>
    </row>
    <row r="77" spans="1:13" ht="15" x14ac:dyDescent="0.25">
      <c r="C77" s="10"/>
      <c r="D77" s="24" t="s">
        <v>97</v>
      </c>
      <c r="E77" s="65" t="s">
        <v>98</v>
      </c>
      <c r="F77" s="30" t="str">
        <f>IF(izm_type&lt;&gt;"руб.,Гкал","тыс.","") &amp; "руб."</f>
        <v>руб.</v>
      </c>
      <c r="G77" s="57">
        <v>72327.87</v>
      </c>
      <c r="H77" s="32">
        <v>371244</v>
      </c>
      <c r="I77" s="31">
        <f>L77/12*6</f>
        <v>217024.38500000001</v>
      </c>
      <c r="J77" s="31">
        <f>L77/12*2</f>
        <v>72341.46166666667</v>
      </c>
      <c r="K77" s="57">
        <f>L77/12*4</f>
        <v>144682.92333333334</v>
      </c>
      <c r="L77" s="31">
        <f>251658+58705.94+29360+20376+73948.83</f>
        <v>434048.77</v>
      </c>
      <c r="M77" s="31">
        <f>29360+73948.83+20376.27+198000+59400</f>
        <v>381085.1</v>
      </c>
    </row>
    <row r="78" spans="1:13" ht="15" hidden="1" x14ac:dyDescent="0.25">
      <c r="C78" s="10"/>
      <c r="D78" s="66" t="s">
        <v>97</v>
      </c>
      <c r="E78" s="34"/>
      <c r="F78" s="30"/>
      <c r="G78" s="67"/>
      <c r="H78" s="68"/>
      <c r="I78" s="67"/>
      <c r="J78" s="67"/>
      <c r="K78" s="67"/>
      <c r="L78" s="67"/>
      <c r="M78" s="67"/>
    </row>
    <row r="79" spans="1:13" ht="15" hidden="1" x14ac:dyDescent="0.25">
      <c r="C79" s="10"/>
      <c r="D79" s="69"/>
      <c r="E79" s="70" t="s">
        <v>99</v>
      </c>
      <c r="F79" s="71"/>
      <c r="G79" s="72"/>
      <c r="H79" s="73"/>
      <c r="I79" s="72"/>
      <c r="J79" s="72"/>
      <c r="K79" s="72"/>
      <c r="L79" s="72"/>
      <c r="M79" s="72"/>
    </row>
    <row r="80" spans="1:13" ht="15" x14ac:dyDescent="0.25">
      <c r="C80" s="10"/>
      <c r="D80" s="24" t="s">
        <v>100</v>
      </c>
      <c r="E80" s="43" t="s">
        <v>101</v>
      </c>
      <c r="F80" s="30" t="str">
        <f>IF(izm_type&lt;&gt;"руб.,Гкал","тыс.","") &amp; "руб."</f>
        <v>руб.</v>
      </c>
      <c r="G80" s="20">
        <f t="shared" ref="G80:M80" si="18">G81+SUM(G83:G86)</f>
        <v>0</v>
      </c>
      <c r="H80" s="74">
        <f t="shared" si="18"/>
        <v>1585105.32073</v>
      </c>
      <c r="I80" s="20">
        <f t="shared" si="18"/>
        <v>869509.97333333339</v>
      </c>
      <c r="J80" s="20">
        <f t="shared" si="18"/>
        <v>289836.65777777781</v>
      </c>
      <c r="K80" s="20">
        <f t="shared" si="18"/>
        <v>579673.31555555563</v>
      </c>
      <c r="L80" s="20">
        <f t="shared" si="18"/>
        <v>1739019.9466666668</v>
      </c>
      <c r="M80" s="20">
        <f t="shared" si="18"/>
        <v>1532285.9500000002</v>
      </c>
    </row>
    <row r="81" spans="3:13" ht="15" x14ac:dyDescent="0.25">
      <c r="C81" s="10"/>
      <c r="D81" s="66" t="s">
        <v>102</v>
      </c>
      <c r="E81" s="75" t="s">
        <v>103</v>
      </c>
      <c r="F81" s="30" t="str">
        <f>IF(izm_type&lt;&gt;"руб.,Гкал","тыс.","") &amp; "руб."</f>
        <v>руб.</v>
      </c>
      <c r="G81" s="31"/>
      <c r="H81" s="51">
        <f>181478.35+8925+285883.41+162567.49+144877.31+100169.02+49863.11+288368.4</f>
        <v>1222132.0900000001</v>
      </c>
      <c r="I81" s="31">
        <f>L81/12*6</f>
        <v>680421.43333333335</v>
      </c>
      <c r="J81" s="31">
        <f>L81/12*2</f>
        <v>226807.14444444445</v>
      </c>
      <c r="K81" s="31">
        <f>L81/12*4</f>
        <v>453614.2888888889</v>
      </c>
      <c r="L81" s="31">
        <f>(227659.21+662810.49+118975.42+11187.03)/9*12</f>
        <v>1360842.8666666667</v>
      </c>
      <c r="M81" s="31">
        <v>1207648.8700000001</v>
      </c>
    </row>
    <row r="82" spans="3:13" ht="22.5" x14ac:dyDescent="0.25">
      <c r="C82" s="10"/>
      <c r="D82" s="66" t="s">
        <v>104</v>
      </c>
      <c r="E82" s="75" t="s">
        <v>105</v>
      </c>
      <c r="F82" s="76" t="s">
        <v>106</v>
      </c>
      <c r="G82" s="31"/>
      <c r="H82" s="51">
        <f>0.5+0.15+0.25+0.03+0.4+0.25+0.43</f>
        <v>2.0100000000000002</v>
      </c>
      <c r="I82" s="31">
        <f>0.43+1.65+0.5+0.03</f>
        <v>2.61</v>
      </c>
      <c r="J82" s="31">
        <f>0.43+1.65+0.5+0.03</f>
        <v>2.61</v>
      </c>
      <c r="K82" s="31">
        <f>0.43+1.65+0.5+0.03</f>
        <v>2.61</v>
      </c>
      <c r="L82" s="31">
        <f>0.43+1.65+0.5+0.03</f>
        <v>2.61</v>
      </c>
      <c r="M82" s="31">
        <v>2.5</v>
      </c>
    </row>
    <row r="83" spans="3:13" ht="22.5" x14ac:dyDescent="0.25">
      <c r="C83" s="10"/>
      <c r="D83" s="66" t="s">
        <v>107</v>
      </c>
      <c r="E83" s="75" t="s">
        <v>108</v>
      </c>
      <c r="F83" s="30" t="str">
        <f>IF(izm_type&lt;&gt;"руб.,Гкал","тыс.","") &amp; "руб."</f>
        <v>руб.</v>
      </c>
      <c r="G83" s="31"/>
      <c r="H83" s="51">
        <f>H81*0.297</f>
        <v>362973.23073000001</v>
      </c>
      <c r="I83" s="33">
        <f>L83/L81*I81</f>
        <v>189088.54</v>
      </c>
      <c r="J83" s="33">
        <f>L83/L81*J81</f>
        <v>63029.513333333343</v>
      </c>
      <c r="K83" s="33">
        <f>L83/L81*K81</f>
        <v>126059.02666666669</v>
      </c>
      <c r="L83" s="33">
        <f>(60321.96+183775.32+36192.32+3343.21)/9*12</f>
        <v>378177.08</v>
      </c>
      <c r="M83" s="33">
        <v>324637.08</v>
      </c>
    </row>
    <row r="84" spans="3:13" ht="15" hidden="1" x14ac:dyDescent="0.25">
      <c r="C84" s="10"/>
      <c r="D84" s="66" t="s">
        <v>107</v>
      </c>
      <c r="E84" s="34"/>
      <c r="F84" s="30" t="str">
        <f>IF(izm_type&lt;&gt;"руб.,Гкал","тыс.","") &amp; "руб."</f>
        <v>руб.</v>
      </c>
      <c r="G84" s="67"/>
      <c r="H84" s="68"/>
      <c r="I84" s="67"/>
      <c r="J84" s="67"/>
      <c r="K84" s="67"/>
      <c r="L84" s="67"/>
      <c r="M84" s="67"/>
    </row>
    <row r="85" spans="3:13" ht="15" hidden="1" x14ac:dyDescent="0.25">
      <c r="C85" s="10"/>
      <c r="D85" s="66"/>
      <c r="E85" s="77" t="s">
        <v>109</v>
      </c>
      <c r="F85" s="30" t="str">
        <f>IF(izm_type&lt;&gt;"руб.,Гкал","тыс.","") &amp; "руб."</f>
        <v>руб.</v>
      </c>
      <c r="G85" s="31"/>
      <c r="H85" s="32"/>
      <c r="I85" s="78"/>
      <c r="J85" s="78"/>
      <c r="K85" s="78"/>
      <c r="L85" s="78"/>
      <c r="M85" s="78"/>
    </row>
    <row r="86" spans="3:13" ht="15" hidden="1" x14ac:dyDescent="0.25">
      <c r="C86" s="10"/>
      <c r="D86" s="69"/>
      <c r="E86" s="70" t="s">
        <v>110</v>
      </c>
      <c r="F86" s="71"/>
      <c r="G86" s="72"/>
      <c r="H86" s="73"/>
      <c r="I86" s="72"/>
      <c r="J86" s="72"/>
      <c r="K86" s="72"/>
      <c r="L86" s="72"/>
      <c r="M86" s="72"/>
    </row>
    <row r="87" spans="3:13" ht="15" x14ac:dyDescent="0.25">
      <c r="C87" s="10"/>
      <c r="D87" s="24" t="s">
        <v>111</v>
      </c>
      <c r="E87" s="43" t="s">
        <v>112</v>
      </c>
      <c r="F87" s="30" t="str">
        <f>IF(izm_type&lt;&gt;"руб.,Гкал","тыс.","") &amp; "руб."</f>
        <v>руб.</v>
      </c>
      <c r="G87" s="44">
        <f t="shared" ref="G87:M87" si="19">G88+G90+G91+G92+G93+G94+G95+G99</f>
        <v>2627452.8628813559</v>
      </c>
      <c r="H87" s="45">
        <f t="shared" si="19"/>
        <v>5175433.9649599995</v>
      </c>
      <c r="I87" s="44">
        <f t="shared" si="19"/>
        <v>2188749.1116666663</v>
      </c>
      <c r="J87" s="44">
        <f t="shared" si="19"/>
        <v>729583.03722222219</v>
      </c>
      <c r="K87" s="44">
        <f t="shared" si="19"/>
        <v>1459166.0744444444</v>
      </c>
      <c r="L87" s="44">
        <f t="shared" si="19"/>
        <v>4377498.2233333327</v>
      </c>
      <c r="M87" s="44">
        <f t="shared" si="19"/>
        <v>4657087.7</v>
      </c>
    </row>
    <row r="88" spans="3:13" ht="15" x14ac:dyDescent="0.25">
      <c r="C88" s="10"/>
      <c r="D88" s="24" t="s">
        <v>113</v>
      </c>
      <c r="E88" s="65" t="s">
        <v>114</v>
      </c>
      <c r="F88" s="30" t="str">
        <f>IF(izm_type&lt;&gt;"руб.,Гкал","тыс.","") &amp; "руб."</f>
        <v>руб.</v>
      </c>
      <c r="G88" s="31">
        <v>1562544</v>
      </c>
      <c r="H88" s="51">
        <f>2696738.03-181478.35</f>
        <v>2515259.6799999997</v>
      </c>
      <c r="I88" s="31">
        <f>L88/12*6</f>
        <v>1331092.7533333332</v>
      </c>
      <c r="J88" s="31">
        <f>L88/12*2</f>
        <v>443697.58444444439</v>
      </c>
      <c r="K88" s="31">
        <f>L88/12*4</f>
        <v>887395.16888888879</v>
      </c>
      <c r="L88" s="31">
        <f>1996639.13/9*12</f>
        <v>2662185.5066666664</v>
      </c>
      <c r="M88" s="31">
        <v>2655277.38</v>
      </c>
    </row>
    <row r="89" spans="3:13" ht="22.5" x14ac:dyDescent="0.25">
      <c r="C89" s="10"/>
      <c r="D89" s="24" t="s">
        <v>115</v>
      </c>
      <c r="E89" s="79" t="s">
        <v>116</v>
      </c>
      <c r="F89" s="80" t="s">
        <v>106</v>
      </c>
      <c r="G89" s="31">
        <v>3</v>
      </c>
      <c r="H89" s="51">
        <f>0.25+0.25+0.15+0.25+0.25+0.8+0.25+0.1+0.1+0.25</f>
        <v>2.6500000000000004</v>
      </c>
      <c r="I89" s="31">
        <f>2.65</f>
        <v>2.65</v>
      </c>
      <c r="J89" s="31">
        <v>2.65</v>
      </c>
      <c r="K89" s="31">
        <v>2.65</v>
      </c>
      <c r="L89" s="31">
        <v>2.65</v>
      </c>
      <c r="M89" s="31">
        <v>2.65</v>
      </c>
    </row>
    <row r="90" spans="3:13" ht="15" x14ac:dyDescent="0.25">
      <c r="C90" s="10"/>
      <c r="D90" s="24" t="s">
        <v>117</v>
      </c>
      <c r="E90" s="65" t="s">
        <v>118</v>
      </c>
      <c r="F90" s="30" t="str">
        <f t="shared" ref="F90:F101" si="20">IF(izm_type&lt;&gt;"руб.,Гкал","тыс.","") &amp; "руб."</f>
        <v>руб.</v>
      </c>
      <c r="G90" s="31">
        <v>531264.96000000008</v>
      </c>
      <c r="H90" s="51">
        <f>H88*0.297</f>
        <v>747032.12495999993</v>
      </c>
      <c r="I90" s="33">
        <f>L90/L88*I88</f>
        <v>263689.17333333334</v>
      </c>
      <c r="J90" s="33">
        <f>L90/L88*J88</f>
        <v>87896.391111111108</v>
      </c>
      <c r="K90" s="33">
        <f>L90/L88*K88</f>
        <v>175792.78222222222</v>
      </c>
      <c r="L90" s="33">
        <f>395533.76/9*12</f>
        <v>527378.34666666668</v>
      </c>
      <c r="M90" s="33">
        <v>472639.37</v>
      </c>
    </row>
    <row r="91" spans="3:13" ht="15" x14ac:dyDescent="0.25">
      <c r="C91" s="10"/>
      <c r="D91" s="24" t="s">
        <v>119</v>
      </c>
      <c r="E91" s="65" t="s">
        <v>120</v>
      </c>
      <c r="F91" s="30" t="str">
        <f t="shared" si="20"/>
        <v>руб.</v>
      </c>
      <c r="G91" s="31"/>
      <c r="H91" s="32"/>
      <c r="I91" s="31"/>
      <c r="J91" s="31"/>
      <c r="K91" s="31"/>
      <c r="L91" s="31"/>
      <c r="M91" s="31"/>
    </row>
    <row r="92" spans="3:13" ht="15" x14ac:dyDescent="0.25">
      <c r="C92" s="10"/>
      <c r="D92" s="24" t="s">
        <v>121</v>
      </c>
      <c r="E92" s="65" t="s">
        <v>122</v>
      </c>
      <c r="F92" s="30" t="str">
        <f t="shared" si="20"/>
        <v>руб.</v>
      </c>
      <c r="G92" s="57">
        <v>5515.67</v>
      </c>
      <c r="H92" s="32">
        <v>8916.84</v>
      </c>
      <c r="I92" s="31">
        <f>L92/12*6</f>
        <v>4399.03</v>
      </c>
      <c r="J92" s="31">
        <f>L92/12*2</f>
        <v>1466.3433333333332</v>
      </c>
      <c r="K92" s="57">
        <f>L92/12*4</f>
        <v>2932.6866666666665</v>
      </c>
      <c r="L92" s="31">
        <v>8798.06</v>
      </c>
      <c r="M92" s="31">
        <v>8798.06</v>
      </c>
    </row>
    <row r="93" spans="3:13" ht="22.5" x14ac:dyDescent="0.25">
      <c r="C93" s="10"/>
      <c r="D93" s="24" t="s">
        <v>123</v>
      </c>
      <c r="E93" s="65" t="s">
        <v>124</v>
      </c>
      <c r="F93" s="30" t="str">
        <f t="shared" si="20"/>
        <v>руб.</v>
      </c>
      <c r="G93" s="57">
        <v>585.86</v>
      </c>
      <c r="H93" s="51">
        <v>1806.11</v>
      </c>
      <c r="I93" s="33">
        <f>L93/12*6</f>
        <v>903.05499999999995</v>
      </c>
      <c r="J93" s="33">
        <f>L93/12*2</f>
        <v>301.01833333333332</v>
      </c>
      <c r="K93" s="57">
        <f>L93/12*4</f>
        <v>602.03666666666663</v>
      </c>
      <c r="L93" s="33">
        <v>1806.11</v>
      </c>
      <c r="M93" s="33">
        <v>1676.68</v>
      </c>
    </row>
    <row r="94" spans="3:13" ht="15" x14ac:dyDescent="0.25">
      <c r="C94" s="10"/>
      <c r="D94" s="24" t="s">
        <v>125</v>
      </c>
      <c r="E94" s="65" t="s">
        <v>126</v>
      </c>
      <c r="F94" s="30" t="str">
        <f t="shared" si="20"/>
        <v>руб.</v>
      </c>
      <c r="G94" s="31"/>
      <c r="H94" s="32"/>
      <c r="I94" s="31"/>
      <c r="J94" s="31"/>
      <c r="K94" s="31"/>
      <c r="L94" s="31"/>
      <c r="M94" s="31"/>
    </row>
    <row r="95" spans="3:13" ht="22.5" x14ac:dyDescent="0.25">
      <c r="C95" s="10"/>
      <c r="D95" s="24" t="s">
        <v>127</v>
      </c>
      <c r="E95" s="65" t="s">
        <v>128</v>
      </c>
      <c r="F95" s="30" t="str">
        <f t="shared" si="20"/>
        <v>руб.</v>
      </c>
      <c r="G95" s="27">
        <f>G96+G97</f>
        <v>0</v>
      </c>
      <c r="H95" s="28">
        <f t="shared" ref="H95:M95" si="21">H96+H97+H98</f>
        <v>93977.12999999999</v>
      </c>
      <c r="I95" s="27">
        <f t="shared" si="21"/>
        <v>46988.564999999995</v>
      </c>
      <c r="J95" s="27">
        <f t="shared" si="21"/>
        <v>15662.855</v>
      </c>
      <c r="K95" s="27">
        <f t="shared" si="21"/>
        <v>31325.71</v>
      </c>
      <c r="L95" s="27">
        <f t="shared" si="21"/>
        <v>93977.12999999999</v>
      </c>
      <c r="M95" s="27">
        <f t="shared" si="21"/>
        <v>77261.820000000007</v>
      </c>
    </row>
    <row r="96" spans="3:13" ht="15" x14ac:dyDescent="0.25">
      <c r="C96" s="10"/>
      <c r="D96" s="24" t="s">
        <v>129</v>
      </c>
      <c r="E96" s="79" t="s">
        <v>130</v>
      </c>
      <c r="F96" s="30" t="str">
        <f t="shared" si="20"/>
        <v>руб.</v>
      </c>
      <c r="G96" s="31"/>
      <c r="H96" s="32"/>
      <c r="I96" s="31"/>
      <c r="J96" s="31"/>
      <c r="K96" s="31"/>
      <c r="L96" s="31"/>
      <c r="M96" s="31"/>
    </row>
    <row r="97" spans="3:13" ht="15" x14ac:dyDescent="0.25">
      <c r="C97" s="10"/>
      <c r="D97" s="24" t="s">
        <v>131</v>
      </c>
      <c r="E97" s="79" t="s">
        <v>132</v>
      </c>
      <c r="F97" s="30" t="str">
        <f t="shared" si="20"/>
        <v>руб.</v>
      </c>
      <c r="G97" s="31"/>
      <c r="H97" s="51">
        <v>93784.2</v>
      </c>
      <c r="I97" s="33">
        <f>L97/12*6</f>
        <v>46892.1</v>
      </c>
      <c r="J97" s="33">
        <f>L97/12*2</f>
        <v>15630.699999999999</v>
      </c>
      <c r="K97" s="33">
        <f>L97/12*4</f>
        <v>31261.399999999998</v>
      </c>
      <c r="L97" s="33">
        <v>93784.2</v>
      </c>
      <c r="M97" s="33">
        <v>77119</v>
      </c>
    </row>
    <row r="98" spans="3:13" ht="15" x14ac:dyDescent="0.25">
      <c r="C98" s="10"/>
      <c r="D98" s="24" t="s">
        <v>133</v>
      </c>
      <c r="E98" s="79" t="s">
        <v>134</v>
      </c>
      <c r="F98" s="30" t="str">
        <f t="shared" si="20"/>
        <v>руб.</v>
      </c>
      <c r="G98" s="31"/>
      <c r="H98" s="32">
        <v>192.93</v>
      </c>
      <c r="I98" s="33">
        <f>L98/12*6</f>
        <v>96.465000000000003</v>
      </c>
      <c r="J98" s="33">
        <f>L98/12*2</f>
        <v>32.155000000000001</v>
      </c>
      <c r="K98" s="33">
        <f>L98/12*4</f>
        <v>64.31</v>
      </c>
      <c r="L98" s="33">
        <v>192.93</v>
      </c>
      <c r="M98" s="33">
        <v>142.82</v>
      </c>
    </row>
    <row r="99" spans="3:13" ht="22.5" x14ac:dyDescent="0.25">
      <c r="C99" s="10"/>
      <c r="D99" s="24" t="s">
        <v>135</v>
      </c>
      <c r="E99" s="65" t="s">
        <v>136</v>
      </c>
      <c r="F99" s="30" t="str">
        <f t="shared" si="20"/>
        <v>руб.</v>
      </c>
      <c r="G99" s="27">
        <f t="shared" ref="G99:M99" si="22">SUM(G100:G102)</f>
        <v>527542.37288135593</v>
      </c>
      <c r="H99" s="28">
        <f t="shared" si="22"/>
        <v>1808442.08</v>
      </c>
      <c r="I99" s="27">
        <f t="shared" si="22"/>
        <v>541676.53499999992</v>
      </c>
      <c r="J99" s="27">
        <f t="shared" si="22"/>
        <v>180558.84499999997</v>
      </c>
      <c r="K99" s="27">
        <f t="shared" si="22"/>
        <v>361117.68999999994</v>
      </c>
      <c r="L99" s="27">
        <f t="shared" si="22"/>
        <v>1083353.0699999998</v>
      </c>
      <c r="M99" s="27">
        <f t="shared" si="22"/>
        <v>1441434.3900000001</v>
      </c>
    </row>
    <row r="100" spans="3:13" ht="15" x14ac:dyDescent="0.25">
      <c r="C100" s="10"/>
      <c r="D100" s="24" t="s">
        <v>137</v>
      </c>
      <c r="E100" s="79" t="s">
        <v>138</v>
      </c>
      <c r="F100" s="30" t="str">
        <f t="shared" si="20"/>
        <v>руб.</v>
      </c>
      <c r="G100" s="31">
        <f>3000/1.18*207.5</f>
        <v>527542.37288135593</v>
      </c>
      <c r="H100" s="32">
        <v>553040.06000000006</v>
      </c>
      <c r="I100" s="31">
        <f>L100/12*6</f>
        <v>277320.28499999997</v>
      </c>
      <c r="J100" s="31">
        <f>L100/12*2</f>
        <v>92440.094999999987</v>
      </c>
      <c r="K100" s="31">
        <f>L100/12*4</f>
        <v>184880.18999999997</v>
      </c>
      <c r="L100" s="31">
        <f>570508.44-15867.87</f>
        <v>554640.56999999995</v>
      </c>
      <c r="M100" s="31">
        <v>683440.73</v>
      </c>
    </row>
    <row r="101" spans="3:13" ht="15" x14ac:dyDescent="0.25">
      <c r="C101" s="10"/>
      <c r="D101" s="24" t="s">
        <v>137</v>
      </c>
      <c r="E101" s="36" t="s">
        <v>139</v>
      </c>
      <c r="F101" s="30" t="str">
        <f t="shared" si="20"/>
        <v>руб.</v>
      </c>
      <c r="G101" s="31"/>
      <c r="H101" s="51">
        <v>1255402.02</v>
      </c>
      <c r="I101" s="33">
        <f>L101/12*6</f>
        <v>264356.25</v>
      </c>
      <c r="J101" s="33">
        <f>L101/12*2</f>
        <v>88118.75</v>
      </c>
      <c r="K101" s="33">
        <f>L101/12*4</f>
        <v>176237.5</v>
      </c>
      <c r="L101" s="33">
        <f>11600.09+21819.28+15695.29+78825.1+101311.71+17521.73+27333.91+23180.56+750.7+38358.99+51022.23+1960+103732.83+14777.14+12612.16+8210.78</f>
        <v>528712.5</v>
      </c>
      <c r="M101" s="33">
        <v>757993.66</v>
      </c>
    </row>
    <row r="102" spans="3:13" ht="15" hidden="1" x14ac:dyDescent="0.25">
      <c r="C102" s="10"/>
      <c r="D102" s="69"/>
      <c r="E102" s="70" t="s">
        <v>140</v>
      </c>
      <c r="F102" s="71"/>
      <c r="G102" s="72"/>
      <c r="H102" s="73"/>
      <c r="I102" s="72"/>
      <c r="J102" s="72"/>
      <c r="K102" s="72"/>
      <c r="L102" s="72"/>
      <c r="M102" s="72"/>
    </row>
    <row r="103" spans="3:13" ht="15" x14ac:dyDescent="0.25">
      <c r="C103" s="10"/>
      <c r="D103" s="24" t="s">
        <v>141</v>
      </c>
      <c r="E103" s="63" t="s">
        <v>142</v>
      </c>
      <c r="F103" s="30" t="str">
        <f>IF(izm_type&lt;&gt;"руб.,Гкал","тыс.","") &amp; "руб."</f>
        <v>руб.</v>
      </c>
      <c r="G103" s="57"/>
      <c r="H103" s="58"/>
      <c r="I103" s="57"/>
      <c r="J103" s="57"/>
      <c r="K103" s="57"/>
      <c r="L103" s="57"/>
      <c r="M103" s="57"/>
    </row>
    <row r="104" spans="3:13" ht="21.75" customHeight="1" x14ac:dyDescent="0.25">
      <c r="C104" s="10"/>
      <c r="D104" s="24" t="s">
        <v>143</v>
      </c>
      <c r="E104" s="64" t="s">
        <v>144</v>
      </c>
      <c r="F104" s="30" t="str">
        <f>IF(izm_type&lt;&gt;"руб.,Гкал","тыс.","") &amp; "руб."</f>
        <v>руб.</v>
      </c>
      <c r="G104" s="57"/>
      <c r="H104" s="58"/>
      <c r="I104" s="57"/>
      <c r="J104" s="57"/>
      <c r="K104" s="57"/>
      <c r="L104" s="57"/>
      <c r="M104" s="57"/>
    </row>
    <row r="105" spans="3:13" ht="15" hidden="1" x14ac:dyDescent="0.25">
      <c r="C105" s="10"/>
      <c r="D105" s="69"/>
      <c r="E105" s="70" t="s">
        <v>145</v>
      </c>
      <c r="F105" s="71"/>
      <c r="G105" s="72"/>
      <c r="H105" s="73"/>
      <c r="I105" s="72"/>
      <c r="J105" s="72"/>
      <c r="K105" s="72"/>
      <c r="L105" s="72"/>
      <c r="M105" s="72"/>
    </row>
    <row r="106" spans="3:13" ht="15" x14ac:dyDescent="0.25">
      <c r="C106" s="10"/>
      <c r="D106" s="81" t="s">
        <v>146</v>
      </c>
      <c r="E106" s="82" t="s">
        <v>147</v>
      </c>
      <c r="F106" s="83" t="str">
        <f t="shared" ref="F106:F111" si="23">IF(izm_type&lt;&gt;"руб.,Гкал","тыс.","") &amp; "руб."</f>
        <v>руб.</v>
      </c>
      <c r="G106" s="20">
        <f t="shared" ref="G106:M106" si="24">G26+G27+G40+G53+G60+G63+G66+G69+G70+G73+G74+G75+G80+G87+G103-G104+SUM(G105:G105)</f>
        <v>22087149.814911354</v>
      </c>
      <c r="H106" s="21">
        <f t="shared" si="24"/>
        <v>26793127.961268</v>
      </c>
      <c r="I106" s="20">
        <f t="shared" si="24"/>
        <v>14684654.747555172</v>
      </c>
      <c r="J106" s="20">
        <f t="shared" si="24"/>
        <v>2004663.9672979016</v>
      </c>
      <c r="K106" s="20">
        <f t="shared" si="24"/>
        <v>9262149.4249518681</v>
      </c>
      <c r="L106" s="20">
        <f t="shared" si="24"/>
        <v>26091293.64813827</v>
      </c>
      <c r="M106" s="20">
        <f t="shared" si="24"/>
        <v>26074433.978419479</v>
      </c>
    </row>
    <row r="107" spans="3:13" ht="15" x14ac:dyDescent="0.25">
      <c r="C107" s="10"/>
      <c r="D107" s="81" t="s">
        <v>148</v>
      </c>
      <c r="E107" s="84" t="s">
        <v>149</v>
      </c>
      <c r="F107" s="83" t="str">
        <f t="shared" si="23"/>
        <v>руб.</v>
      </c>
      <c r="G107" s="20">
        <f t="shared" ref="G107:M107" si="25">SUM(G108:G111)+G115</f>
        <v>45257.449289468139</v>
      </c>
      <c r="H107" s="21">
        <f t="shared" si="25"/>
        <v>0</v>
      </c>
      <c r="I107" s="20">
        <f t="shared" si="25"/>
        <v>0</v>
      </c>
      <c r="J107" s="20">
        <f t="shared" si="25"/>
        <v>0</v>
      </c>
      <c r="K107" s="20">
        <f t="shared" si="25"/>
        <v>36205.959431574513</v>
      </c>
      <c r="L107" s="20">
        <f t="shared" si="25"/>
        <v>0</v>
      </c>
      <c r="M107" s="20">
        <f t="shared" si="25"/>
        <v>0</v>
      </c>
    </row>
    <row r="108" spans="3:13" ht="15" x14ac:dyDescent="0.25">
      <c r="C108" s="10"/>
      <c r="D108" s="24" t="s">
        <v>150</v>
      </c>
      <c r="E108" s="43" t="s">
        <v>151</v>
      </c>
      <c r="F108" s="30" t="str">
        <f t="shared" si="23"/>
        <v>руб.</v>
      </c>
      <c r="G108" s="31"/>
      <c r="H108" s="32"/>
      <c r="I108" s="31"/>
      <c r="J108" s="31"/>
      <c r="K108" s="31"/>
      <c r="L108" s="31"/>
      <c r="M108" s="31"/>
    </row>
    <row r="109" spans="3:13" ht="15" x14ac:dyDescent="0.25">
      <c r="C109" s="10"/>
      <c r="D109" s="24" t="s">
        <v>152</v>
      </c>
      <c r="E109" s="43" t="s">
        <v>153</v>
      </c>
      <c r="F109" s="30" t="str">
        <f t="shared" si="23"/>
        <v>руб.</v>
      </c>
      <c r="G109" s="31"/>
      <c r="H109" s="32"/>
      <c r="I109" s="31"/>
      <c r="J109" s="31"/>
      <c r="K109" s="31"/>
      <c r="L109" s="31"/>
      <c r="M109" s="31"/>
    </row>
    <row r="110" spans="3:13" ht="15" x14ac:dyDescent="0.25">
      <c r="C110" s="10"/>
      <c r="D110" s="24" t="s">
        <v>154</v>
      </c>
      <c r="E110" s="43" t="s">
        <v>155</v>
      </c>
      <c r="F110" s="30" t="str">
        <f t="shared" si="23"/>
        <v>руб.</v>
      </c>
      <c r="G110" s="31"/>
      <c r="H110" s="32"/>
      <c r="I110" s="31"/>
      <c r="J110" s="31"/>
      <c r="K110" s="31"/>
      <c r="L110" s="31"/>
      <c r="M110" s="31"/>
    </row>
    <row r="111" spans="3:13" ht="15" x14ac:dyDescent="0.25">
      <c r="C111" s="10"/>
      <c r="D111" s="24" t="s">
        <v>156</v>
      </c>
      <c r="E111" s="64" t="s">
        <v>157</v>
      </c>
      <c r="F111" s="30" t="str">
        <f t="shared" si="23"/>
        <v>руб.</v>
      </c>
      <c r="G111" s="27">
        <f t="shared" ref="G111:M111" si="26">SUM(G112:G114)</f>
        <v>36205.959431574513</v>
      </c>
      <c r="H111" s="28">
        <f t="shared" si="26"/>
        <v>0</v>
      </c>
      <c r="I111" s="27">
        <f t="shared" si="26"/>
        <v>0</v>
      </c>
      <c r="J111" s="27">
        <f t="shared" si="26"/>
        <v>0</v>
      </c>
      <c r="K111" s="27">
        <f t="shared" si="26"/>
        <v>36205.959431574513</v>
      </c>
      <c r="L111" s="27">
        <f t="shared" si="26"/>
        <v>0</v>
      </c>
      <c r="M111" s="27">
        <f t="shared" si="26"/>
        <v>0</v>
      </c>
    </row>
    <row r="112" spans="3:13" ht="15" hidden="1" x14ac:dyDescent="0.25">
      <c r="C112" s="10"/>
      <c r="D112" s="24" t="s">
        <v>158</v>
      </c>
      <c r="E112" s="34"/>
      <c r="F112" s="30"/>
      <c r="G112" s="67"/>
      <c r="H112" s="68"/>
      <c r="I112" s="67"/>
      <c r="J112" s="67"/>
      <c r="K112" s="67"/>
      <c r="L112" s="67"/>
      <c r="M112" s="67"/>
    </row>
    <row r="113" spans="3:13" ht="15" hidden="1" x14ac:dyDescent="0.25">
      <c r="C113" s="10"/>
      <c r="D113" s="85"/>
      <c r="E113" s="77"/>
      <c r="F113" s="86"/>
      <c r="G113" s="67">
        <v>36205.959431574513</v>
      </c>
      <c r="H113" s="68"/>
      <c r="I113" s="67"/>
      <c r="J113" s="67"/>
      <c r="K113" s="67">
        <v>36205.959431574513</v>
      </c>
      <c r="L113" s="67"/>
      <c r="M113" s="67"/>
    </row>
    <row r="114" spans="3:13" ht="15" hidden="1" x14ac:dyDescent="0.25">
      <c r="C114" s="10"/>
      <c r="D114" s="69"/>
      <c r="E114" s="70" t="s">
        <v>159</v>
      </c>
      <c r="F114" s="71"/>
      <c r="G114" s="72"/>
      <c r="H114" s="73"/>
      <c r="I114" s="72"/>
      <c r="J114" s="72"/>
      <c r="K114" s="72"/>
      <c r="L114" s="72"/>
      <c r="M114" s="72"/>
    </row>
    <row r="115" spans="3:13" ht="15" x14ac:dyDescent="0.25">
      <c r="C115" s="10"/>
      <c r="D115" s="24" t="s">
        <v>160</v>
      </c>
      <c r="E115" s="63" t="s">
        <v>161</v>
      </c>
      <c r="F115" s="30" t="str">
        <f>IF(izm_type&lt;&gt;"руб.,Гкал","тыс.","") &amp; "руб."</f>
        <v>руб.</v>
      </c>
      <c r="G115" s="31">
        <f>G117</f>
        <v>9051.4898578936281</v>
      </c>
      <c r="H115" s="32"/>
      <c r="I115" s="31"/>
      <c r="J115" s="31"/>
      <c r="K115" s="31"/>
      <c r="L115" s="31"/>
      <c r="M115" s="31"/>
    </row>
    <row r="116" spans="3:13" ht="15" x14ac:dyDescent="0.25">
      <c r="C116" s="10"/>
      <c r="D116" s="24" t="s">
        <v>162</v>
      </c>
      <c r="E116" s="34" t="s">
        <v>163</v>
      </c>
      <c r="F116" s="30" t="str">
        <f>IF(izm_type&lt;&gt;"руб.,Гкал","тыс.","") &amp; "руб."</f>
        <v>руб.</v>
      </c>
      <c r="G116" s="31"/>
      <c r="H116" s="32"/>
      <c r="I116" s="31"/>
      <c r="J116" s="31"/>
      <c r="K116" s="31"/>
      <c r="L116" s="31"/>
      <c r="M116" s="31"/>
    </row>
    <row r="117" spans="3:13" ht="15" x14ac:dyDescent="0.25">
      <c r="C117" s="10"/>
      <c r="D117" s="24" t="s">
        <v>162</v>
      </c>
      <c r="E117" s="34" t="s">
        <v>164</v>
      </c>
      <c r="F117" s="30" t="str">
        <f>IF(izm_type&lt;&gt;"руб.,Гкал","тыс.","") &amp; "руб."</f>
        <v>руб.</v>
      </c>
      <c r="G117" s="57">
        <v>9051.4898578936281</v>
      </c>
      <c r="H117" s="32"/>
      <c r="I117" s="31"/>
      <c r="J117" s="31"/>
      <c r="K117" s="57"/>
      <c r="L117" s="31"/>
      <c r="M117" s="31"/>
    </row>
    <row r="118" spans="3:13" ht="15" x14ac:dyDescent="0.25">
      <c r="C118" s="10"/>
      <c r="D118" s="24" t="s">
        <v>165</v>
      </c>
      <c r="E118" s="87" t="s">
        <v>166</v>
      </c>
      <c r="F118" s="26" t="s">
        <v>24</v>
      </c>
      <c r="G118" s="27">
        <f t="shared" ref="G118:L118" si="27">(G107/G106*100)</f>
        <v>0.20490398113256866</v>
      </c>
      <c r="H118" s="28">
        <f t="shared" si="27"/>
        <v>0</v>
      </c>
      <c r="I118" s="27">
        <f t="shared" si="27"/>
        <v>0</v>
      </c>
      <c r="J118" s="27">
        <f t="shared" si="27"/>
        <v>0</v>
      </c>
      <c r="K118" s="27">
        <f t="shared" si="27"/>
        <v>0.39090234642551841</v>
      </c>
      <c r="L118" s="27">
        <f t="shared" si="27"/>
        <v>0</v>
      </c>
      <c r="M118" s="27"/>
    </row>
    <row r="119" spans="3:13" ht="15" x14ac:dyDescent="0.25">
      <c r="C119" s="10"/>
      <c r="D119" s="88" t="s">
        <v>167</v>
      </c>
      <c r="E119" s="89" t="s">
        <v>168</v>
      </c>
      <c r="F119" s="83" t="str">
        <f>IF(izm_type&lt;&gt;"руб.,Гкал","тыс.","") &amp; "руб."</f>
        <v>руб.</v>
      </c>
      <c r="G119" s="20">
        <f t="shared" ref="G119:M119" si="28">G106+G107</f>
        <v>22132407.264200822</v>
      </c>
      <c r="H119" s="21">
        <f t="shared" si="28"/>
        <v>26793127.961268</v>
      </c>
      <c r="I119" s="20">
        <f t="shared" si="28"/>
        <v>14684654.747555172</v>
      </c>
      <c r="J119" s="20">
        <f t="shared" si="28"/>
        <v>2004663.9672979016</v>
      </c>
      <c r="K119" s="20">
        <f t="shared" si="28"/>
        <v>9298355.3843834419</v>
      </c>
      <c r="L119" s="20">
        <f t="shared" si="28"/>
        <v>26091293.64813827</v>
      </c>
      <c r="M119" s="20">
        <f t="shared" si="28"/>
        <v>26074433.978419479</v>
      </c>
    </row>
    <row r="120" spans="3:13" ht="15.75" thickBot="1" x14ac:dyDescent="0.3">
      <c r="C120" s="10"/>
      <c r="D120" s="90" t="s">
        <v>169</v>
      </c>
      <c r="E120" s="91" t="s">
        <v>170</v>
      </c>
      <c r="F120" s="92" t="s">
        <v>75</v>
      </c>
      <c r="G120" s="20">
        <f t="shared" ref="G120:M120" si="29">(G119/G18)</f>
        <v>1659.5986250900437</v>
      </c>
      <c r="H120" s="21">
        <f t="shared" si="29"/>
        <v>2096.2766337483513</v>
      </c>
      <c r="I120" s="20">
        <f t="shared" si="29"/>
        <v>1764.9258206213763</v>
      </c>
      <c r="J120" s="20">
        <f t="shared" si="29"/>
        <v>13389.739993125</v>
      </c>
      <c r="K120" s="20">
        <f t="shared" si="29"/>
        <v>2227.6579560270502</v>
      </c>
      <c r="L120" s="20">
        <f t="shared" si="29"/>
        <v>2063.5261123106025</v>
      </c>
      <c r="M120" s="20">
        <f t="shared" si="29"/>
        <v>2042.9064305367731</v>
      </c>
    </row>
    <row r="122" spans="3:13" x14ac:dyDescent="0.25">
      <c r="E122" s="93"/>
      <c r="F122" s="93"/>
      <c r="G122" s="93"/>
      <c r="H122" s="93"/>
      <c r="I122" s="93"/>
      <c r="J122" s="93"/>
      <c r="K122" s="93"/>
      <c r="L122" s="93"/>
      <c r="M122" s="93"/>
    </row>
    <row r="123" spans="3:13" x14ac:dyDescent="0.25">
      <c r="E123" s="93"/>
      <c r="F123" s="93"/>
      <c r="G123" s="93"/>
      <c r="H123" s="93"/>
      <c r="I123" s="93"/>
      <c r="J123" s="93"/>
      <c r="K123" s="93"/>
      <c r="L123" s="93"/>
      <c r="M123" s="93"/>
    </row>
    <row r="124" spans="3:13" x14ac:dyDescent="0.25">
      <c r="E124" s="93"/>
      <c r="F124" s="93"/>
      <c r="G124" s="93"/>
      <c r="H124" s="93"/>
      <c r="I124" s="93"/>
      <c r="J124" s="93"/>
      <c r="K124" s="93"/>
      <c r="L124" s="93"/>
      <c r="M124" s="93"/>
    </row>
  </sheetData>
  <mergeCells count="20">
    <mergeCell ref="D44:D46"/>
    <mergeCell ref="D5:M5"/>
    <mergeCell ref="D6:M6"/>
    <mergeCell ref="D8:D9"/>
    <mergeCell ref="E8:E9"/>
    <mergeCell ref="F8:F9"/>
    <mergeCell ref="G8:H8"/>
    <mergeCell ref="I8:M8"/>
    <mergeCell ref="D28:D30"/>
    <mergeCell ref="D31:D33"/>
    <mergeCell ref="D34:D36"/>
    <mergeCell ref="D37:D39"/>
    <mergeCell ref="D41:D43"/>
    <mergeCell ref="D66:D68"/>
    <mergeCell ref="D47:D49"/>
    <mergeCell ref="D50:D52"/>
    <mergeCell ref="D54:D56"/>
    <mergeCell ref="D57:D59"/>
    <mergeCell ref="D60:D62"/>
    <mergeCell ref="D63:D65"/>
  </mergeCells>
  <dataValidations count="5">
    <dataValidation allowBlank="1" sqref="IL119:IP119"/>
    <dataValidation type="decimal" allowBlank="1" showInputMessage="1" showErrorMessage="1" sqref="IL64:IP65">
      <formula1>-999999999999999000</formula1>
      <formula2>99999999999999900</formula2>
    </dataValidation>
    <dataValidation allowBlank="1" showInputMessage="1" errorTitle="Недопустимое значение" error="Введите действительное число" sqref="IL71:IP71"/>
    <dataValidation allowBlank="1" showInputMessage="1" sqref="IL17:IP17"/>
    <dataValidation type="decimal" allowBlank="1" showErrorMessage="1" errorTitle="Ошибка" error="Допускается ввод только неотрицательных чисел!" sqref="IL67:IP70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Владимирович Репин</dc:creator>
  <cp:lastModifiedBy>Сергей Владимирович Репин</cp:lastModifiedBy>
  <dcterms:created xsi:type="dcterms:W3CDTF">2015-01-27T14:18:46Z</dcterms:created>
  <dcterms:modified xsi:type="dcterms:W3CDTF">2015-01-27T14:21:11Z</dcterms:modified>
</cp:coreProperties>
</file>